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cgutzmer\Desktop\"/>
    </mc:Choice>
  </mc:AlternateContent>
  <xr:revisionPtr revIDLastSave="0" documentId="8_{D4864E46-FF36-438C-8EF2-D0C0BC5129F9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Assumptions" sheetId="4" r:id="rId1"/>
    <sheet name="Model" sheetId="2" r:id="rId2"/>
    <sheet name="DCF" sheetId="5" r:id="rId3"/>
    <sheet name="_CIQHiddenCacheSheet" sheetId="13" state="veryHidden" r:id="rId4"/>
    <sheet name="Peers" sheetId="9" r:id="rId5"/>
    <sheet name="Sensitivity" sheetId="6" r:id="rId6"/>
    <sheet name="Valuation Range" sheetId="11" r:id="rId7"/>
  </sheets>
  <externalReferences>
    <externalReference r:id="rId8"/>
  </externalReferences>
  <definedNames>
    <definedName name="CIQWBGuid" hidden="1">"d1350593-1033-4efe-848c-0ef416ef4c1e"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43776.3377083333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RCTRLK6" hidden="1">[1]CTRL!$K$7:$K$257</definedName>
    <definedName name="_xlnm.Print_Area" localSheetId="0">Assumptions!$B$2:$Y$21</definedName>
    <definedName name="_xlnm.Print_Area" localSheetId="2">DCF!$B$2:$M$39</definedName>
    <definedName name="_xlnm.Print_Area" localSheetId="1">Model!$B$2:$W$66,Model!$AI$2:$AO$38</definedName>
    <definedName name="_xlnm.Print_Area" localSheetId="4">Peers!$B$2:$P$38,Peers!$B$42:$P$79</definedName>
    <definedName name="_xlnm.Print_Area" localSheetId="5">Sensitivity!$B$2:$G$7,Sensitivity!$B$9:$G$14,Sensitivity!$B$16:$G$21</definedName>
    <definedName name="_xlnm.Print_Area" localSheetId="6">'Valuation Range'!$A$1:$G$20</definedName>
  </definedName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1" l="1"/>
  <c r="G4" i="11"/>
  <c r="W12" i="2"/>
  <c r="V12" i="2"/>
  <c r="T7" i="2"/>
  <c r="U36" i="2"/>
  <c r="U35" i="2"/>
  <c r="U33" i="2"/>
  <c r="U32" i="2"/>
  <c r="U50" i="2"/>
  <c r="F8" i="11" l="1"/>
  <c r="E6" i="11"/>
  <c r="F6" i="11"/>
  <c r="E36" i="9"/>
  <c r="G36" i="9"/>
  <c r="I36" i="9"/>
  <c r="E37" i="9"/>
  <c r="G37" i="9"/>
  <c r="F17" i="5"/>
  <c r="F26" i="5"/>
  <c r="M26" i="5"/>
  <c r="V34" i="2"/>
  <c r="V3" i="2" s="1"/>
  <c r="V4" i="2"/>
  <c r="W4" i="2"/>
  <c r="AA4" i="2" s="1"/>
  <c r="AE4" i="2" s="1"/>
  <c r="X4" i="2"/>
  <c r="Y4" i="2"/>
  <c r="AC4" i="2" s="1"/>
  <c r="AG4" i="2" s="1"/>
  <c r="Z4" i="2"/>
  <c r="AD4" i="2" s="1"/>
  <c r="AB4" i="2"/>
  <c r="AF4" i="2" s="1"/>
  <c r="X40" i="2"/>
  <c r="D5" i="2"/>
  <c r="E5" i="2"/>
  <c r="F5" i="2"/>
  <c r="G5" i="2"/>
  <c r="H5" i="2"/>
  <c r="I5" i="2"/>
  <c r="I7" i="2" s="1"/>
  <c r="J5" i="2"/>
  <c r="K5" i="2"/>
  <c r="L5" i="2"/>
  <c r="M5" i="2"/>
  <c r="N5" i="2"/>
  <c r="N7" i="2" s="1"/>
  <c r="O5" i="2"/>
  <c r="O7" i="2" s="1"/>
  <c r="P5" i="2"/>
  <c r="P7" i="2" s="1"/>
  <c r="Q5" i="2"/>
  <c r="Q7" i="2" s="1"/>
  <c r="Q15" i="2" s="1"/>
  <c r="R5" i="2"/>
  <c r="S5" i="2"/>
  <c r="S7" i="2" s="1"/>
  <c r="T5" i="2"/>
  <c r="T8" i="2" s="1"/>
  <c r="U5" i="2"/>
  <c r="AB5" i="2"/>
  <c r="D7" i="2"/>
  <c r="D8" i="2" s="1"/>
  <c r="E7" i="2"/>
  <c r="F7" i="2"/>
  <c r="G7" i="2" s="1"/>
  <c r="H7" i="2"/>
  <c r="H8" i="2" s="1"/>
  <c r="J7" i="2"/>
  <c r="J8" i="2" s="1"/>
  <c r="K7" i="2"/>
  <c r="L7" i="2"/>
  <c r="L8" i="2" s="1"/>
  <c r="M7" i="2"/>
  <c r="M15" i="2" s="1"/>
  <c r="U7" i="2"/>
  <c r="U8" i="2" s="1"/>
  <c r="E8" i="2"/>
  <c r="K8" i="2"/>
  <c r="M8" i="2"/>
  <c r="Q8" i="2"/>
  <c r="AJ8" i="2"/>
  <c r="AJ9" i="2"/>
  <c r="AK9" i="2"/>
  <c r="AJ11" i="2"/>
  <c r="AB12" i="2"/>
  <c r="D15" i="2"/>
  <c r="D21" i="2" s="1"/>
  <c r="D24" i="2" s="1"/>
  <c r="E15" i="2"/>
  <c r="F15" i="2"/>
  <c r="H15" i="2"/>
  <c r="H28" i="2" s="1"/>
  <c r="H66" i="2" s="1"/>
  <c r="K15" i="2"/>
  <c r="K28" i="2" s="1"/>
  <c r="L15" i="2"/>
  <c r="T15" i="2"/>
  <c r="T16" i="2" s="1"/>
  <c r="D16" i="2"/>
  <c r="E16" i="2"/>
  <c r="F16" i="2"/>
  <c r="K16" i="2"/>
  <c r="L16" i="2"/>
  <c r="AJ16" i="2"/>
  <c r="E17" i="2"/>
  <c r="E18" i="2" s="1"/>
  <c r="F17" i="2"/>
  <c r="M17" i="2"/>
  <c r="M18" i="2" s="1"/>
  <c r="Q17" i="2"/>
  <c r="Q18" i="2" s="1"/>
  <c r="AJ17" i="2"/>
  <c r="AK17" i="2"/>
  <c r="I12" i="5" s="1"/>
  <c r="F18" i="2"/>
  <c r="AJ18" i="2"/>
  <c r="AJ19" i="2"/>
  <c r="AK19" i="2"/>
  <c r="AL19" i="2"/>
  <c r="AM19" i="2"/>
  <c r="E21" i="2"/>
  <c r="E23" i="2" s="1"/>
  <c r="K21" i="2"/>
  <c r="Q21" i="2"/>
  <c r="G22" i="2"/>
  <c r="H22" i="2"/>
  <c r="I22" i="2" s="1"/>
  <c r="E24" i="2"/>
  <c r="E25" i="2" s="1"/>
  <c r="AJ25" i="2"/>
  <c r="AK25" i="2"/>
  <c r="AL25" i="2"/>
  <c r="AM25" i="2"/>
  <c r="V27" i="2"/>
  <c r="W27" i="2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E28" i="2"/>
  <c r="E66" i="2" s="1"/>
  <c r="M28" i="2"/>
  <c r="Q28" i="2"/>
  <c r="Q35" i="2" s="1"/>
  <c r="T28" i="2"/>
  <c r="T66" i="2" s="1"/>
  <c r="L32" i="2"/>
  <c r="M32" i="2"/>
  <c r="N32" i="2"/>
  <c r="O32" i="2"/>
  <c r="P32" i="2"/>
  <c r="Q32" i="2"/>
  <c r="R32" i="2"/>
  <c r="S32" i="2"/>
  <c r="T32" i="2"/>
  <c r="P33" i="2"/>
  <c r="Q33" i="2"/>
  <c r="R33" i="2"/>
  <c r="S33" i="2"/>
  <c r="T33" i="2"/>
  <c r="Y34" i="2"/>
  <c r="Y3" i="2" s="1"/>
  <c r="AA34" i="2"/>
  <c r="AC34" i="2"/>
  <c r="AE34" i="2"/>
  <c r="AF34" i="2"/>
  <c r="AF3" i="2" s="1"/>
  <c r="L36" i="2"/>
  <c r="D40" i="2"/>
  <c r="E40" i="2"/>
  <c r="F40" i="2"/>
  <c r="G40" i="2"/>
  <c r="L40" i="2"/>
  <c r="M40" i="2"/>
  <c r="N40" i="2"/>
  <c r="O40" i="2"/>
  <c r="P40" i="2"/>
  <c r="Q40" i="2"/>
  <c r="R40" i="2"/>
  <c r="S40" i="2"/>
  <c r="T40" i="2"/>
  <c r="U40" i="2"/>
  <c r="D41" i="2"/>
  <c r="E41" i="2"/>
  <c r="F41" i="2"/>
  <c r="L41" i="2"/>
  <c r="M41" i="2"/>
  <c r="N41" i="2"/>
  <c r="O41" i="2"/>
  <c r="P41" i="2"/>
  <c r="Q41" i="2"/>
  <c r="R41" i="2"/>
  <c r="S41" i="2"/>
  <c r="T41" i="2"/>
  <c r="U41" i="2"/>
  <c r="AG41" i="2"/>
  <c r="D42" i="2"/>
  <c r="E42" i="2"/>
  <c r="F42" i="2"/>
  <c r="G42" i="2"/>
  <c r="W42" i="2"/>
  <c r="AD42" i="2"/>
  <c r="AE42" i="2"/>
  <c r="AF42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B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K66" i="2"/>
  <c r="M66" i="2"/>
  <c r="Q66" i="2"/>
  <c r="T3" i="4"/>
  <c r="T4" i="4"/>
  <c r="T5" i="4"/>
  <c r="T6" i="4"/>
  <c r="B8" i="4"/>
  <c r="T8" i="4"/>
  <c r="B9" i="4"/>
  <c r="D9" i="4"/>
  <c r="E9" i="4"/>
  <c r="F9" i="4"/>
  <c r="T9" i="4"/>
  <c r="B10" i="4"/>
  <c r="T10" i="4"/>
  <c r="B11" i="4"/>
  <c r="D11" i="4"/>
  <c r="E11" i="4"/>
  <c r="F11" i="4"/>
  <c r="T11" i="4"/>
  <c r="B13" i="4"/>
  <c r="T13" i="4"/>
  <c r="B14" i="4"/>
  <c r="T14" i="4"/>
  <c r="V14" i="4"/>
  <c r="W14" i="4" s="1"/>
  <c r="B15" i="4"/>
  <c r="T15" i="4"/>
  <c r="B16" i="4"/>
  <c r="T16" i="4"/>
  <c r="B18" i="4"/>
  <c r="T18" i="4"/>
  <c r="B19" i="4"/>
  <c r="T19" i="4"/>
  <c r="B20" i="4"/>
  <c r="T20" i="4"/>
  <c r="B21" i="4"/>
  <c r="T21" i="4"/>
  <c r="P33" i="9"/>
  <c r="H29" i="9"/>
  <c r="J28" i="9"/>
  <c r="L25" i="9"/>
  <c r="N24" i="9"/>
  <c r="D14" i="9"/>
  <c r="U9" i="9"/>
  <c r="U7" i="9"/>
  <c r="T5" i="9"/>
  <c r="L5" i="9"/>
  <c r="P30" i="9"/>
  <c r="J29" i="9"/>
  <c r="P26" i="9"/>
  <c r="P25" i="9"/>
  <c r="N23" i="9"/>
  <c r="N9" i="9"/>
  <c r="N7" i="9"/>
  <c r="U5" i="9"/>
  <c r="N5" i="9"/>
  <c r="D33" i="9"/>
  <c r="L29" i="9"/>
  <c r="D27" i="9"/>
  <c r="D26" i="9"/>
  <c r="P23" i="9"/>
  <c r="H14" i="9"/>
  <c r="H10" i="9"/>
  <c r="D10" i="9"/>
  <c r="D8" i="9"/>
  <c r="D6" i="9"/>
  <c r="D4" i="9"/>
  <c r="F33" i="9"/>
  <c r="P29" i="9"/>
  <c r="F27" i="9"/>
  <c r="P24" i="9"/>
  <c r="R23" i="9"/>
  <c r="J14" i="9"/>
  <c r="J10" i="9"/>
  <c r="J8" i="9"/>
  <c r="H33" i="9"/>
  <c r="L28" i="9"/>
  <c r="H27" i="9"/>
  <c r="D25" i="9"/>
  <c r="T14" i="9"/>
  <c r="L14" i="9"/>
  <c r="T10" i="9"/>
  <c r="T8" i="9"/>
  <c r="H8" i="9"/>
  <c r="H6" i="9"/>
  <c r="H4" i="9"/>
  <c r="J33" i="9"/>
  <c r="P28" i="9"/>
  <c r="J27" i="9"/>
  <c r="F25" i="9"/>
  <c r="U14" i="9"/>
  <c r="N14" i="9"/>
  <c r="L10" i="9"/>
  <c r="L8" i="9"/>
  <c r="U6" i="9"/>
  <c r="J6" i="9"/>
  <c r="J4" i="9"/>
  <c r="L33" i="9"/>
  <c r="D29" i="9"/>
  <c r="L27" i="9"/>
  <c r="H25" i="9"/>
  <c r="D23" i="9"/>
  <c r="D11" i="9"/>
  <c r="U10" i="9"/>
  <c r="U8" i="9"/>
  <c r="N6" i="9"/>
  <c r="T4" i="9"/>
  <c r="D30" i="9"/>
  <c r="F29" i="9"/>
  <c r="F26" i="9"/>
  <c r="D24" i="9"/>
  <c r="F23" i="9"/>
  <c r="N10" i="9"/>
  <c r="N8" i="9"/>
  <c r="T6" i="9"/>
  <c r="L6" i="9" s="1"/>
  <c r="U4" i="9"/>
  <c r="L4" i="9"/>
  <c r="F30" i="9"/>
  <c r="P27" i="9"/>
  <c r="H26" i="9"/>
  <c r="F24" i="9"/>
  <c r="H23" i="9"/>
  <c r="H11" i="9"/>
  <c r="H9" i="9"/>
  <c r="D9" i="9"/>
  <c r="D7" i="9"/>
  <c r="D5" i="9"/>
  <c r="N4" i="9"/>
  <c r="H30" i="9"/>
  <c r="D28" i="9"/>
  <c r="J26" i="9"/>
  <c r="H24" i="9"/>
  <c r="J23" i="9"/>
  <c r="J11" i="9"/>
  <c r="J9" i="9"/>
  <c r="J30" i="9"/>
  <c r="F28" i="9"/>
  <c r="L26" i="9"/>
  <c r="J24" i="9"/>
  <c r="L23" i="9"/>
  <c r="T11" i="9"/>
  <c r="T9" i="9"/>
  <c r="T7" i="9"/>
  <c r="H7" i="9"/>
  <c r="H5" i="9"/>
  <c r="L30" i="9"/>
  <c r="H28" i="9"/>
  <c r="J25" i="9"/>
  <c r="L24" i="9"/>
  <c r="U11" i="9"/>
  <c r="N11" i="9" s="1"/>
  <c r="L11" i="9"/>
  <c r="L9" i="9"/>
  <c r="L7" i="9"/>
  <c r="J7" i="9"/>
  <c r="J5" i="9"/>
  <c r="Z42" i="2" l="1"/>
  <c r="Y40" i="2"/>
  <c r="AC40" i="2" s="1"/>
  <c r="W40" i="2"/>
  <c r="AA40" i="2" s="1"/>
  <c r="AC42" i="2"/>
  <c r="Y42" i="2"/>
  <c r="V40" i="2"/>
  <c r="Z40" i="2" s="1"/>
  <c r="AG34" i="2"/>
  <c r="Y8" i="2"/>
  <c r="AC8" i="2" s="1"/>
  <c r="AG8" i="2" s="1"/>
  <c r="X8" i="2"/>
  <c r="AB8" i="2" s="1"/>
  <c r="AF8" i="2" s="1"/>
  <c r="AG42" i="2"/>
  <c r="AD34" i="2"/>
  <c r="X34" i="2"/>
  <c r="X3" i="2" s="1"/>
  <c r="X5" i="2" s="1"/>
  <c r="X50" i="2" s="1"/>
  <c r="AB42" i="2"/>
  <c r="AB13" i="2" s="1"/>
  <c r="W34" i="2"/>
  <c r="W3" i="2" s="1"/>
  <c r="AA3" i="2" s="1"/>
  <c r="AA42" i="2"/>
  <c r="N18" i="9"/>
  <c r="N16" i="9"/>
  <c r="N17" i="9"/>
  <c r="H37" i="9"/>
  <c r="H35" i="9"/>
  <c r="H36" i="9"/>
  <c r="L18" i="9"/>
  <c r="L16" i="9"/>
  <c r="L17" i="9"/>
  <c r="F37" i="9"/>
  <c r="F35" i="9"/>
  <c r="F36" i="9"/>
  <c r="D37" i="9"/>
  <c r="D35" i="9"/>
  <c r="D36" i="9"/>
  <c r="J18" i="9"/>
  <c r="J16" i="9"/>
  <c r="J17" i="9"/>
  <c r="D25" i="2"/>
  <c r="D27" i="2"/>
  <c r="AC3" i="2"/>
  <c r="Y5" i="2"/>
  <c r="AJ12" i="2"/>
  <c r="AJ13" i="2" s="1"/>
  <c r="K17" i="2"/>
  <c r="K18" i="2" s="1"/>
  <c r="L21" i="2"/>
  <c r="L28" i="2"/>
  <c r="L17" i="2"/>
  <c r="L18" i="2" s="1"/>
  <c r="D23" i="2"/>
  <c r="E27" i="2"/>
  <c r="J15" i="2"/>
  <c r="M16" i="2"/>
  <c r="M36" i="2"/>
  <c r="M21" i="2"/>
  <c r="I8" i="2"/>
  <c r="I15" i="2"/>
  <c r="H17" i="2"/>
  <c r="H18" i="2" s="1"/>
  <c r="H21" i="2"/>
  <c r="H24" i="2" s="1"/>
  <c r="AB40" i="2"/>
  <c r="F21" i="2"/>
  <c r="F28" i="2"/>
  <c r="F66" i="2" s="1"/>
  <c r="S8" i="2"/>
  <c r="W8" i="2" s="1"/>
  <c r="AA8" i="2" s="1"/>
  <c r="AE8" i="2" s="1"/>
  <c r="S15" i="2"/>
  <c r="R7" i="2"/>
  <c r="AJ10" i="2"/>
  <c r="V5" i="2"/>
  <c r="J22" i="2"/>
  <c r="Q16" i="2"/>
  <c r="Q36" i="2"/>
  <c r="G8" i="2"/>
  <c r="G6" i="2"/>
  <c r="G41" i="2" s="1"/>
  <c r="G15" i="2"/>
  <c r="P15" i="2"/>
  <c r="P8" i="2"/>
  <c r="O15" i="2"/>
  <c r="O8" i="2"/>
  <c r="N15" i="2"/>
  <c r="N8" i="2"/>
  <c r="AF5" i="2"/>
  <c r="AF13" i="2" s="1"/>
  <c r="H16" i="2"/>
  <c r="T17" i="2"/>
  <c r="T18" i="2" s="1"/>
  <c r="T21" i="2"/>
  <c r="D17" i="2"/>
  <c r="D18" i="2" s="1"/>
  <c r="U15" i="2"/>
  <c r="AL9" i="2"/>
  <c r="AM9" i="2" s="1"/>
  <c r="AN9" i="2" s="1"/>
  <c r="AO9" i="2" s="1"/>
  <c r="F8" i="2"/>
  <c r="D28" i="2"/>
  <c r="D66" i="2" s="1"/>
  <c r="X42" i="2"/>
  <c r="AB34" i="2"/>
  <c r="V42" i="2"/>
  <c r="Z34" i="2"/>
  <c r="Z3" i="2" s="1"/>
  <c r="F10" i="9"/>
  <c r="F14" i="9"/>
  <c r="F5" i="9"/>
  <c r="F11" i="9"/>
  <c r="F7" i="9"/>
  <c r="F9" i="9"/>
  <c r="F4" i="9"/>
  <c r="F6" i="9"/>
  <c r="F8" i="9"/>
  <c r="Y11" i="2" l="1"/>
  <c r="X12" i="2"/>
  <c r="AB7" i="2"/>
  <c r="AB6" i="2" s="1"/>
  <c r="X7" i="2"/>
  <c r="W5" i="2"/>
  <c r="W11" i="2" s="1"/>
  <c r="AK8" i="2"/>
  <c r="X13" i="2"/>
  <c r="X11" i="2"/>
  <c r="AD3" i="2"/>
  <c r="AD5" i="2" s="1"/>
  <c r="Z5" i="2"/>
  <c r="Z11" i="2" s="1"/>
  <c r="V50" i="2"/>
  <c r="V13" i="2"/>
  <c r="AD40" i="2"/>
  <c r="G16" i="2"/>
  <c r="G17" i="2"/>
  <c r="G18" i="2" s="1"/>
  <c r="G21" i="2"/>
  <c r="G28" i="2"/>
  <c r="G66" i="2" s="1"/>
  <c r="R8" i="2"/>
  <c r="V8" i="2" s="1"/>
  <c r="Z8" i="2" s="1"/>
  <c r="AD8" i="2" s="1"/>
  <c r="R15" i="2"/>
  <c r="V11" i="2"/>
  <c r="L35" i="2"/>
  <c r="L66" i="2"/>
  <c r="Y7" i="2"/>
  <c r="Y6" i="2" s="1"/>
  <c r="Y12" i="2"/>
  <c r="Y13" i="2"/>
  <c r="Y50" i="2"/>
  <c r="AF12" i="2"/>
  <c r="AF7" i="2"/>
  <c r="AF50" i="2"/>
  <c r="AE3" i="2"/>
  <c r="AE5" i="2" s="1"/>
  <c r="AA5" i="2"/>
  <c r="I17" i="2"/>
  <c r="I18" i="2" s="1"/>
  <c r="I16" i="2"/>
  <c r="I21" i="2"/>
  <c r="I28" i="2"/>
  <c r="AG3" i="2"/>
  <c r="AG5" i="2" s="1"/>
  <c r="AC5" i="2"/>
  <c r="S16" i="2"/>
  <c r="S17" i="2"/>
  <c r="S18" i="2" s="1"/>
  <c r="S21" i="2"/>
  <c r="S28" i="2"/>
  <c r="S36" i="2"/>
  <c r="N16" i="2"/>
  <c r="N21" i="2"/>
  <c r="N28" i="2"/>
  <c r="N17" i="2"/>
  <c r="N18" i="2" s="1"/>
  <c r="N36" i="2"/>
  <c r="AG40" i="2"/>
  <c r="H23" i="2"/>
  <c r="AE40" i="2"/>
  <c r="F24" i="2"/>
  <c r="F23" i="2"/>
  <c r="K22" i="2"/>
  <c r="J23" i="2"/>
  <c r="J28" i="2"/>
  <c r="J66" i="2" s="1"/>
  <c r="J17" i="2"/>
  <c r="J18" i="2" s="1"/>
  <c r="J16" i="2"/>
  <c r="J21" i="2"/>
  <c r="J24" i="2" s="1"/>
  <c r="O16" i="2"/>
  <c r="O36" i="2"/>
  <c r="O17" i="2"/>
  <c r="O18" i="2" s="1"/>
  <c r="O21" i="2"/>
  <c r="O28" i="2"/>
  <c r="AB11" i="2"/>
  <c r="AF40" i="2"/>
  <c r="AF11" i="2" s="1"/>
  <c r="H25" i="2"/>
  <c r="H26" i="2"/>
  <c r="U17" i="2"/>
  <c r="U18" i="2" s="1"/>
  <c r="U16" i="2"/>
  <c r="U21" i="2"/>
  <c r="U28" i="2"/>
  <c r="P21" i="2"/>
  <c r="P28" i="2"/>
  <c r="P17" i="2"/>
  <c r="P16" i="2"/>
  <c r="P36" i="2"/>
  <c r="T36" i="2"/>
  <c r="AK10" i="2" l="1"/>
  <c r="I6" i="5" s="1"/>
  <c r="I14" i="5" s="1"/>
  <c r="X15" i="2"/>
  <c r="X21" i="2" s="1"/>
  <c r="X22" i="2" s="1"/>
  <c r="X24" i="2" s="1"/>
  <c r="W7" i="2"/>
  <c r="W6" i="2" s="1"/>
  <c r="W50" i="2"/>
  <c r="AB15" i="2"/>
  <c r="AB21" i="2" s="1"/>
  <c r="X6" i="2"/>
  <c r="AL8" i="2"/>
  <c r="AM8" i="2" s="1"/>
  <c r="AN8" i="2" s="1"/>
  <c r="AO8" i="2" s="1"/>
  <c r="AK16" i="2"/>
  <c r="W13" i="2"/>
  <c r="AK18" i="2" s="1"/>
  <c r="V7" i="2"/>
  <c r="V6" i="2" s="1"/>
  <c r="AF15" i="2"/>
  <c r="AF17" i="2" s="1"/>
  <c r="AF18" i="2" s="1"/>
  <c r="AD11" i="2"/>
  <c r="O66" i="2"/>
  <c r="O35" i="2"/>
  <c r="AA7" i="2"/>
  <c r="AA6" i="2" s="1"/>
  <c r="AA12" i="2"/>
  <c r="AA50" i="2"/>
  <c r="AA13" i="2"/>
  <c r="AE12" i="2"/>
  <c r="AE50" i="2"/>
  <c r="AE7" i="2"/>
  <c r="AE6" i="2" s="1"/>
  <c r="AE13" i="2"/>
  <c r="K23" i="2"/>
  <c r="K24" i="2"/>
  <c r="L22" i="2"/>
  <c r="AC12" i="2"/>
  <c r="AC50" i="2"/>
  <c r="AC7" i="2"/>
  <c r="AC6" i="2" s="1"/>
  <c r="AC13" i="2"/>
  <c r="AF6" i="2"/>
  <c r="R21" i="2"/>
  <c r="AJ26" i="2" s="1"/>
  <c r="R28" i="2"/>
  <c r="R17" i="2"/>
  <c r="R18" i="2" s="1"/>
  <c r="R16" i="2"/>
  <c r="R36" i="2"/>
  <c r="J26" i="2"/>
  <c r="J25" i="2"/>
  <c r="AA11" i="2"/>
  <c r="AG7" i="2"/>
  <c r="AG6" i="2" s="1"/>
  <c r="AG50" i="2"/>
  <c r="AG12" i="2"/>
  <c r="AG13" i="2"/>
  <c r="Z7" i="2"/>
  <c r="Z6" i="2" s="1"/>
  <c r="Z12" i="2"/>
  <c r="Z50" i="2"/>
  <c r="Z13" i="2"/>
  <c r="AE11" i="2"/>
  <c r="AD12" i="2"/>
  <c r="AD7" i="2"/>
  <c r="AD50" i="2"/>
  <c r="AD13" i="2"/>
  <c r="AJ20" i="2"/>
  <c r="AJ21" i="2" s="1"/>
  <c r="M35" i="2"/>
  <c r="I66" i="2"/>
  <c r="G24" i="2"/>
  <c r="G23" i="2"/>
  <c r="P18" i="2"/>
  <c r="S35" i="2"/>
  <c r="S66" i="2"/>
  <c r="AJ33" i="2"/>
  <c r="P66" i="2"/>
  <c r="P35" i="2"/>
  <c r="T35" i="2"/>
  <c r="N35" i="2"/>
  <c r="N66" i="2"/>
  <c r="F25" i="2"/>
  <c r="F27" i="2"/>
  <c r="AG11" i="2"/>
  <c r="I24" i="2"/>
  <c r="I23" i="2"/>
  <c r="AC11" i="2"/>
  <c r="Y15" i="2"/>
  <c r="AL10" i="2" l="1"/>
  <c r="AK36" i="2"/>
  <c r="X17" i="2"/>
  <c r="X18" i="2" s="1"/>
  <c r="X28" i="2"/>
  <c r="W15" i="2"/>
  <c r="W28" i="2" s="1"/>
  <c r="AB16" i="2"/>
  <c r="AB17" i="2"/>
  <c r="AB18" i="2" s="1"/>
  <c r="AB28" i="2"/>
  <c r="X16" i="2"/>
  <c r="AK11" i="2"/>
  <c r="AK12" i="2" s="1"/>
  <c r="AK20" i="2" s="1"/>
  <c r="V15" i="2"/>
  <c r="V16" i="2" s="1"/>
  <c r="AF16" i="2"/>
  <c r="AF28" i="2"/>
  <c r="AF21" i="2"/>
  <c r="AA15" i="2"/>
  <c r="AA16" i="2" s="1"/>
  <c r="X29" i="2"/>
  <c r="X25" i="2"/>
  <c r="X26" i="2"/>
  <c r="AD15" i="2"/>
  <c r="AB22" i="2"/>
  <c r="AB24" i="2" s="1"/>
  <c r="AD6" i="2"/>
  <c r="AG15" i="2"/>
  <c r="AJ22" i="2"/>
  <c r="AJ23" i="2" s="1"/>
  <c r="AC15" i="2"/>
  <c r="L23" i="2"/>
  <c r="M22" i="2"/>
  <c r="L24" i="2"/>
  <c r="Y16" i="2"/>
  <c r="Y21" i="2"/>
  <c r="Y17" i="2"/>
  <c r="Y18" i="2" s="1"/>
  <c r="Y28" i="2"/>
  <c r="G25" i="2"/>
  <c r="G26" i="2"/>
  <c r="AE15" i="2"/>
  <c r="K25" i="2"/>
  <c r="K26" i="2"/>
  <c r="I25" i="2"/>
  <c r="I26" i="2"/>
  <c r="Z15" i="2"/>
  <c r="R66" i="2"/>
  <c r="R35" i="2"/>
  <c r="AL18" i="2" l="1"/>
  <c r="AL36" i="2"/>
  <c r="J6" i="5"/>
  <c r="J14" i="5" s="1"/>
  <c r="AM10" i="2"/>
  <c r="AN10" i="2" s="1"/>
  <c r="AN16" i="2" s="1"/>
  <c r="AL17" i="2"/>
  <c r="J12" i="5" s="1"/>
  <c r="AL16" i="2"/>
  <c r="W21" i="2"/>
  <c r="W22" i="2" s="1"/>
  <c r="W24" i="2" s="1"/>
  <c r="W25" i="2" s="1"/>
  <c r="W17" i="2"/>
  <c r="W18" i="2" s="1"/>
  <c r="W16" i="2"/>
  <c r="V28" i="2"/>
  <c r="V21" i="2"/>
  <c r="V22" i="2" s="1"/>
  <c r="V24" i="2" s="1"/>
  <c r="V17" i="2"/>
  <c r="V18" i="2" s="1"/>
  <c r="AK13" i="2"/>
  <c r="AL13" i="2" s="1"/>
  <c r="AL12" i="2" s="1"/>
  <c r="AA28" i="2"/>
  <c r="AA21" i="2"/>
  <c r="AA22" i="2" s="1"/>
  <c r="AA24" i="2" s="1"/>
  <c r="AA17" i="2"/>
  <c r="AA18" i="2" s="1"/>
  <c r="AF22" i="2"/>
  <c r="AF24" i="2" s="1"/>
  <c r="AF25" i="2" s="1"/>
  <c r="AB29" i="2"/>
  <c r="AB25" i="2"/>
  <c r="AB26" i="2"/>
  <c r="AC16" i="2"/>
  <c r="AC17" i="2"/>
  <c r="AC18" i="2" s="1"/>
  <c r="AC21" i="2"/>
  <c r="AC28" i="2"/>
  <c r="Z16" i="2"/>
  <c r="Z21" i="2"/>
  <c r="Z28" i="2"/>
  <c r="Z17" i="2"/>
  <c r="Z18" i="2" s="1"/>
  <c r="L37" i="2"/>
  <c r="L26" i="2"/>
  <c r="L25" i="2"/>
  <c r="Y22" i="2"/>
  <c r="Y24" i="2" s="1"/>
  <c r="M23" i="2"/>
  <c r="N22" i="2"/>
  <c r="M24" i="2"/>
  <c r="AD21" i="2"/>
  <c r="AD28" i="2"/>
  <c r="AD17" i="2"/>
  <c r="AD18" i="2" s="1"/>
  <c r="AD16" i="2"/>
  <c r="AG17" i="2"/>
  <c r="AG18" i="2" s="1"/>
  <c r="AG16" i="2"/>
  <c r="AG28" i="2"/>
  <c r="AG21" i="2"/>
  <c r="AE16" i="2"/>
  <c r="AE17" i="2"/>
  <c r="AE18" i="2" s="1"/>
  <c r="AE21" i="2"/>
  <c r="AE28" i="2"/>
  <c r="I8" i="5"/>
  <c r="AK21" i="2"/>
  <c r="AK33" i="2"/>
  <c r="AK22" i="2"/>
  <c r="AK37" i="2"/>
  <c r="AN18" i="2" l="1"/>
  <c r="AO10" i="2"/>
  <c r="AO16" i="2" s="1"/>
  <c r="AO15" i="2" s="1"/>
  <c r="K6" i="5"/>
  <c r="K14" i="5" s="1"/>
  <c r="AM16" i="2"/>
  <c r="AM18" i="2"/>
  <c r="AM17" i="2"/>
  <c r="K12" i="5" s="1"/>
  <c r="AM36" i="2"/>
  <c r="AN36" i="2"/>
  <c r="L6" i="5"/>
  <c r="L14" i="5" s="1"/>
  <c r="AN17" i="2"/>
  <c r="L12" i="5" s="1"/>
  <c r="W29" i="2"/>
  <c r="W26" i="2"/>
  <c r="AM13" i="2"/>
  <c r="AM12" i="2" s="1"/>
  <c r="AF29" i="2"/>
  <c r="AF26" i="2"/>
  <c r="AA25" i="2"/>
  <c r="AA26" i="2"/>
  <c r="AA29" i="2"/>
  <c r="M37" i="2"/>
  <c r="M25" i="2"/>
  <c r="M26" i="2"/>
  <c r="AC22" i="2"/>
  <c r="AC24" i="2" s="1"/>
  <c r="AL20" i="2"/>
  <c r="AL11" i="2"/>
  <c r="I10" i="5"/>
  <c r="F4" i="11"/>
  <c r="I7" i="5"/>
  <c r="AE22" i="2"/>
  <c r="AE24" i="2" s="1"/>
  <c r="Y25" i="2"/>
  <c r="Y26" i="2"/>
  <c r="Y29" i="2"/>
  <c r="AG22" i="2"/>
  <c r="AG24" i="2" s="1"/>
  <c r="V29" i="2"/>
  <c r="V25" i="2"/>
  <c r="V26" i="2"/>
  <c r="AD22" i="2"/>
  <c r="AD24" i="2" s="1"/>
  <c r="Z22" i="2"/>
  <c r="Z24" i="2" s="1"/>
  <c r="O22" i="2"/>
  <c r="N23" i="2"/>
  <c r="N24" i="2"/>
  <c r="AK23" i="2"/>
  <c r="AK26" i="2"/>
  <c r="AO18" i="2" l="1"/>
  <c r="AO36" i="2"/>
  <c r="AO17" i="2"/>
  <c r="M12" i="5" s="1"/>
  <c r="M6" i="5"/>
  <c r="M14" i="5" s="1"/>
  <c r="AN13" i="2"/>
  <c r="AN12" i="2" s="1"/>
  <c r="AC26" i="2"/>
  <c r="AC25" i="2"/>
  <c r="AC29" i="2"/>
  <c r="Z26" i="2"/>
  <c r="Z25" i="2"/>
  <c r="Z29" i="2"/>
  <c r="AE25" i="2"/>
  <c r="AE26" i="2"/>
  <c r="AE29" i="2"/>
  <c r="AD29" i="2"/>
  <c r="AD26" i="2"/>
  <c r="AD25" i="2"/>
  <c r="I15" i="5"/>
  <c r="I17" i="5" s="1"/>
  <c r="N37" i="2"/>
  <c r="N26" i="2"/>
  <c r="N25" i="2"/>
  <c r="AL21" i="2"/>
  <c r="J8" i="5"/>
  <c r="AL33" i="2"/>
  <c r="AL22" i="2"/>
  <c r="AL37" i="2"/>
  <c r="AG25" i="2"/>
  <c r="AG26" i="2"/>
  <c r="AG29" i="2"/>
  <c r="O23" i="2"/>
  <c r="O24" i="2"/>
  <c r="AK27" i="2"/>
  <c r="AK29" i="2" s="1"/>
  <c r="AM20" i="2"/>
  <c r="AM11" i="2"/>
  <c r="AO13" i="2" l="1"/>
  <c r="AO12" i="2" s="1"/>
  <c r="AO11" i="2" s="1"/>
  <c r="AK30" i="2"/>
  <c r="AK34" i="2"/>
  <c r="AK31" i="2"/>
  <c r="AM37" i="2"/>
  <c r="AM21" i="2"/>
  <c r="K8" i="5"/>
  <c r="AM22" i="2"/>
  <c r="AM33" i="2"/>
  <c r="AN20" i="2"/>
  <c r="AN11" i="2"/>
  <c r="J10" i="5"/>
  <c r="J7" i="5"/>
  <c r="AL23" i="2"/>
  <c r="AL26" i="2"/>
  <c r="O37" i="2"/>
  <c r="O25" i="2"/>
  <c r="O26" i="2"/>
  <c r="AO20" i="2" l="1"/>
  <c r="AO37" i="2" s="1"/>
  <c r="J15" i="5"/>
  <c r="J17" i="5" s="1"/>
  <c r="AN21" i="2"/>
  <c r="L8" i="5"/>
  <c r="AN33" i="2"/>
  <c r="AN22" i="2"/>
  <c r="AN37" i="2"/>
  <c r="AM23" i="2"/>
  <c r="AM26" i="2"/>
  <c r="K10" i="5"/>
  <c r="K7" i="5"/>
  <c r="AL27" i="2"/>
  <c r="AL29" i="2" s="1"/>
  <c r="AO22" i="2" l="1"/>
  <c r="AO23" i="2" s="1"/>
  <c r="AO33" i="2"/>
  <c r="AO21" i="2"/>
  <c r="M8" i="5"/>
  <c r="M10" i="5" s="1"/>
  <c r="AL30" i="2"/>
  <c r="AL31" i="2"/>
  <c r="AL34" i="2"/>
  <c r="AN26" i="2"/>
  <c r="AN23" i="2"/>
  <c r="K15" i="5"/>
  <c r="K17" i="5" s="1"/>
  <c r="L10" i="5"/>
  <c r="L7" i="5"/>
  <c r="AM27" i="2"/>
  <c r="AM29" i="2" s="1"/>
  <c r="AO26" i="2" l="1"/>
  <c r="AO27" i="2" s="1"/>
  <c r="AO29" i="2" s="1"/>
  <c r="M25" i="5"/>
  <c r="M27" i="5" s="1"/>
  <c r="M29" i="5" s="1"/>
  <c r="M7" i="5"/>
  <c r="M15" i="5"/>
  <c r="AM30" i="2"/>
  <c r="AM34" i="2"/>
  <c r="AM31" i="2"/>
  <c r="L15" i="5"/>
  <c r="L17" i="5" s="1"/>
  <c r="AN27" i="2"/>
  <c r="AN29" i="2" s="1"/>
  <c r="AO30" i="2" l="1"/>
  <c r="AO34" i="2"/>
  <c r="AO31" i="2"/>
  <c r="AN34" i="2"/>
  <c r="AN30" i="2"/>
  <c r="AN31" i="2"/>
  <c r="F25" i="5"/>
  <c r="M17" i="5"/>
  <c r="M18" i="5" s="1"/>
  <c r="F23" i="5" s="1"/>
  <c r="M23" i="5" s="1"/>
  <c r="M31" i="5" s="1"/>
  <c r="M35" i="5" s="1"/>
  <c r="M37" i="5" s="1"/>
  <c r="M39" i="5" s="1"/>
  <c r="K7" i="6" s="1"/>
  <c r="F27" i="5" l="1"/>
  <c r="F29" i="5" s="1"/>
  <c r="F31" i="5" s="1"/>
  <c r="F35" i="5" l="1"/>
  <c r="F37" i="5" s="1"/>
  <c r="F39" i="5" s="1"/>
  <c r="K4" i="6" s="1"/>
  <c r="F33" i="5"/>
  <c r="P22" i="2"/>
  <c r="Q22" i="2"/>
  <c r="R22" i="2"/>
  <c r="S22" i="2"/>
  <c r="T22" i="2"/>
  <c r="U22" i="2"/>
  <c r="P23" i="2"/>
  <c r="Q23" i="2"/>
  <c r="R23" i="2"/>
  <c r="S23" i="2"/>
  <c r="T23" i="2"/>
  <c r="U23" i="2"/>
  <c r="P24" i="2"/>
  <c r="Q24" i="2"/>
  <c r="R24" i="2"/>
  <c r="S24" i="2"/>
  <c r="T24" i="2"/>
  <c r="U24" i="2"/>
  <c r="P25" i="2"/>
  <c r="Q25" i="2"/>
  <c r="R25" i="2"/>
  <c r="S25" i="2"/>
  <c r="T25" i="2"/>
  <c r="U25" i="2"/>
  <c r="P26" i="2"/>
  <c r="Q26" i="2"/>
  <c r="R26" i="2"/>
  <c r="S26" i="2"/>
  <c r="T26" i="2"/>
  <c r="U26" i="2"/>
  <c r="AJ27" i="2"/>
  <c r="P29" i="2"/>
  <c r="Q29" i="2"/>
  <c r="R29" i="2"/>
  <c r="S29" i="2"/>
  <c r="T29" i="2"/>
  <c r="U29" i="2"/>
  <c r="AJ29" i="2"/>
  <c r="AJ30" i="2"/>
  <c r="AJ31" i="2"/>
  <c r="AJ34" i="2"/>
  <c r="P37" i="2"/>
  <c r="Q37" i="2"/>
  <c r="R37" i="2"/>
  <c r="S37" i="2"/>
  <c r="T37" i="2"/>
  <c r="U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Colin Gutzmer</author>
  </authors>
  <commentList>
    <comment ref="W12" authorId="0" shapeId="0" xr:uid="{5F2B92E2-5AAF-4D66-8ECC-509205D16188}">
      <text>
        <r>
          <rPr>
            <b/>
            <sz val="9"/>
            <color indexed="81"/>
            <rFont val="Tahoma"/>
            <family val="2"/>
          </rPr>
          <t>Colin Gutzmer:</t>
        </r>
        <r>
          <rPr>
            <sz val="9"/>
            <color indexed="81"/>
            <rFont val="Tahoma"/>
            <family val="2"/>
          </rPr>
          <t xml:space="preserve">
Maintain depreciation guidance
</t>
        </r>
      </text>
    </comment>
    <comment ref="U51" authorId="0" shapeId="0" xr:uid="{2A9DFC08-F58B-44CE-A3C5-64E4EEEB9AFD}">
      <text>
        <r>
          <rPr>
            <b/>
            <sz val="9"/>
            <color indexed="81"/>
            <rFont val="Tahoma"/>
            <family val="2"/>
          </rPr>
          <t>Colin Gutzmer:</t>
        </r>
        <r>
          <rPr>
            <sz val="9"/>
            <color indexed="81"/>
            <rFont val="Tahoma"/>
            <family val="2"/>
          </rPr>
          <t xml:space="preserve">
Guidance</t>
        </r>
      </text>
    </comment>
    <comment ref="V51" authorId="0" shapeId="0" xr:uid="{DB3F612B-419E-46DF-A9D7-34E4ECDC73E1}">
      <text>
        <r>
          <rPr>
            <b/>
            <sz val="9"/>
            <color indexed="81"/>
            <rFont val="Tahoma"/>
            <family val="2"/>
          </rPr>
          <t>Colin Gutzmer:</t>
        </r>
        <r>
          <rPr>
            <sz val="9"/>
            <color indexed="81"/>
            <rFont val="Tahoma"/>
            <family val="2"/>
          </rPr>
          <t xml:space="preserve">
Guidance</t>
        </r>
      </text>
    </comment>
    <comment ref="W51" authorId="0" shapeId="0" xr:uid="{29F9B04A-9F7D-4FAE-8951-2F5636CC3A91}">
      <text>
        <r>
          <rPr>
            <b/>
            <sz val="9"/>
            <color indexed="81"/>
            <rFont val="Tahoma"/>
            <family val="2"/>
          </rPr>
          <t>Colin Gutzmer:</t>
        </r>
        <r>
          <rPr>
            <sz val="9"/>
            <color indexed="81"/>
            <rFont val="Tahoma"/>
            <family val="2"/>
          </rPr>
          <t xml:space="preserve">
Guidance</t>
        </r>
      </text>
    </comment>
    <comment ref="X51" authorId="0" shapeId="0" xr:uid="{0A8C428B-B52A-4DEF-8C17-71202454FA1C}">
      <text>
        <r>
          <rPr>
            <b/>
            <sz val="9"/>
            <color indexed="81"/>
            <rFont val="Tahoma"/>
            <family val="2"/>
          </rPr>
          <t>Colin Gutzmer:</t>
        </r>
        <r>
          <rPr>
            <sz val="9"/>
            <color indexed="81"/>
            <rFont val="Tahoma"/>
            <family val="2"/>
          </rPr>
          <t xml:space="preserve">
Guidance</t>
        </r>
      </text>
    </comment>
    <comment ref="Y51" authorId="0" shapeId="0" xr:uid="{A94732FC-5CB8-4F91-A4E7-974B29A66B59}">
      <text>
        <r>
          <rPr>
            <b/>
            <sz val="9"/>
            <color indexed="81"/>
            <rFont val="Tahoma"/>
            <family val="2"/>
          </rPr>
          <t>Colin Gutzmer:</t>
        </r>
        <r>
          <rPr>
            <sz val="9"/>
            <color indexed="81"/>
            <rFont val="Tahoma"/>
            <family val="2"/>
          </rPr>
          <t xml:space="preserve">
Guidance</t>
        </r>
      </text>
    </comment>
  </commentList>
</comments>
</file>

<file path=xl/sharedStrings.xml><?xml version="1.0" encoding="utf-8"?>
<sst xmlns="http://schemas.openxmlformats.org/spreadsheetml/2006/main" count="505" uniqueCount="230">
  <si>
    <t>Cost of merchandise sold</t>
  </si>
  <si>
    <t>Gross Profit</t>
  </si>
  <si>
    <t>Margin</t>
  </si>
  <si>
    <t>Operating Expenses</t>
  </si>
  <si>
    <t>SG&amp;A</t>
  </si>
  <si>
    <t>Depreciation and Ammortization</t>
  </si>
  <si>
    <t>Impairments, Store Closing, and other costs</t>
  </si>
  <si>
    <t>Interest Expense, Net</t>
  </si>
  <si>
    <t>Income Before Income Taxes</t>
  </si>
  <si>
    <t>Net Income</t>
  </si>
  <si>
    <t>Diluted EPS</t>
  </si>
  <si>
    <t>Number of Shares</t>
  </si>
  <si>
    <t>EBIT</t>
  </si>
  <si>
    <t>Growth Rates</t>
  </si>
  <si>
    <t>Sales</t>
  </si>
  <si>
    <t>EBITDA</t>
  </si>
  <si>
    <t>Earnings</t>
  </si>
  <si>
    <t>% of Sales</t>
  </si>
  <si>
    <t>Depreciation</t>
  </si>
  <si>
    <t>Tax Rate</t>
  </si>
  <si>
    <t>Cash Flows</t>
  </si>
  <si>
    <t>Net cash provided by Operating Activities</t>
  </si>
  <si>
    <t>Dividend Payment</t>
  </si>
  <si>
    <t>Net cash Provided by Financing Activities</t>
  </si>
  <si>
    <t>Net Debt</t>
  </si>
  <si>
    <t>Cash and Cash Equivilants</t>
  </si>
  <si>
    <t>Net Financial Debt</t>
  </si>
  <si>
    <t>Debt extinguishment losses</t>
  </si>
  <si>
    <t>Comp Sales</t>
  </si>
  <si>
    <t>Inventory</t>
  </si>
  <si>
    <t>Stock buyback</t>
  </si>
  <si>
    <t>Adj EBIT</t>
  </si>
  <si>
    <t>Adj EBIT Margin</t>
  </si>
  <si>
    <t>Other Revenue</t>
  </si>
  <si>
    <t>Revenue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</si>
  <si>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</si>
  <si>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</si>
  <si>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</si>
  <si>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</si>
  <si>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</si>
  <si>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</si>
  <si>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</si>
  <si>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</si>
  <si>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</si>
  <si>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</si>
  <si>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</si>
  <si>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</si>
  <si>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</si>
  <si>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</si>
  <si>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</si>
  <si>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</si>
  <si>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</si>
  <si>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</si>
  <si>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2022</t>
  </si>
  <si>
    <t>Q4 2022</t>
  </si>
  <si>
    <t>Q1 2023</t>
  </si>
  <si>
    <t>Q2 2023</t>
  </si>
  <si>
    <t>Q3 2023</t>
  </si>
  <si>
    <t>Q4 2023</t>
  </si>
  <si>
    <t>Q1 2024</t>
  </si>
  <si>
    <t>Q2 2024</t>
  </si>
  <si>
    <t>Q1 2016</t>
  </si>
  <si>
    <t>Q2 2016</t>
  </si>
  <si>
    <t>Q3 2016</t>
  </si>
  <si>
    <t>Q4 2016</t>
  </si>
  <si>
    <t>Income Taxes</t>
  </si>
  <si>
    <t>CapEx</t>
  </si>
  <si>
    <t>Debt Repayments</t>
  </si>
  <si>
    <t>LT Borrowing</t>
  </si>
  <si>
    <t>Base</t>
  </si>
  <si>
    <t>Bear</t>
  </si>
  <si>
    <t>Bull</t>
  </si>
  <si>
    <t>Comp Sales Case:</t>
  </si>
  <si>
    <t>SG&amp;A Impact:</t>
  </si>
  <si>
    <t>Margin Case:</t>
  </si>
  <si>
    <t>NWC</t>
  </si>
  <si>
    <t>Change in NWC</t>
  </si>
  <si>
    <t>Operating Income</t>
  </si>
  <si>
    <t>Taxes @</t>
  </si>
  <si>
    <t>Tax-Effected EBIT</t>
  </si>
  <si>
    <t>Plus: Depreciation</t>
  </si>
  <si>
    <t>Change in Working Capital</t>
  </si>
  <si>
    <t>Less: Capital Expenditures</t>
  </si>
  <si>
    <t>Unlevered Free Cash Flow</t>
  </si>
  <si>
    <t>Present Value @ a Discount Rate of:</t>
  </si>
  <si>
    <t>Present Value of Projection Period</t>
  </si>
  <si>
    <t>Perpetuity Method</t>
  </si>
  <si>
    <t>EBITDA Exit Multiple Method</t>
  </si>
  <si>
    <t>Perpetuity Growth Rate</t>
  </si>
  <si>
    <t>EBITDA Multiple</t>
  </si>
  <si>
    <t>Terminal Value</t>
  </si>
  <si>
    <t>Years</t>
  </si>
  <si>
    <t>Present Value of Terminal Value</t>
  </si>
  <si>
    <t>Total Enterprise Value</t>
  </si>
  <si>
    <t>Implied EBITDA Multiple</t>
  </si>
  <si>
    <t>2020E</t>
  </si>
  <si>
    <t>2021E</t>
  </si>
  <si>
    <t>Discounted Cash Flow Analysis</t>
  </si>
  <si>
    <t>% Revenue</t>
  </si>
  <si>
    <t>2022E</t>
  </si>
  <si>
    <t>Equity Value</t>
  </si>
  <si>
    <t>Fair Value</t>
  </si>
  <si>
    <t>Today's Price</t>
  </si>
  <si>
    <t>Implied Upside</t>
  </si>
  <si>
    <t>Less Net Debt</t>
  </si>
  <si>
    <t>Diluted EPS, Adj.</t>
  </si>
  <si>
    <t>Q3 2021</t>
  </si>
  <si>
    <t>Q4 2021</t>
  </si>
  <si>
    <t>Q1 2022</t>
  </si>
  <si>
    <t>Q2 2022</t>
  </si>
  <si>
    <t>2019A</t>
  </si>
  <si>
    <t>2023E</t>
  </si>
  <si>
    <t>2024E</t>
  </si>
  <si>
    <t>Pre-Tax Income</t>
  </si>
  <si>
    <t>SG&amp;A % Revenue</t>
  </si>
  <si>
    <t>Revenue Growth</t>
  </si>
  <si>
    <t>Gross Margin Increase</t>
  </si>
  <si>
    <t>Fiscal Year Ended January 31,</t>
  </si>
  <si>
    <t>2024 Free Cash Flow</t>
  </si>
  <si>
    <t>Annual</t>
  </si>
  <si>
    <t>2024 EBITDA</t>
  </si>
  <si>
    <t>Zero-Growth</t>
  </si>
  <si>
    <t>WACC @ 0% Perpetuity Growth</t>
  </si>
  <si>
    <t>Perpetuity Growth-Rate @ 6.5% WACC</t>
  </si>
  <si>
    <t>Mkt Cap (USD)</t>
  </si>
  <si>
    <t>NTM P/E</t>
  </si>
  <si>
    <t>NTM EV/EBITDA</t>
  </si>
  <si>
    <t>NTM EV/EBIT</t>
  </si>
  <si>
    <t xml:space="preserve">Mean  </t>
  </si>
  <si>
    <t>25th Percentile</t>
  </si>
  <si>
    <t>75th Percentile</t>
  </si>
  <si>
    <t>Kohl's</t>
  </si>
  <si>
    <t>NM</t>
  </si>
  <si>
    <t>Sales/Sq. FT</t>
  </si>
  <si>
    <t>Share Price</t>
  </si>
  <si>
    <t>% of 52-Week High</t>
  </si>
  <si>
    <t>Change in Cash</t>
  </si>
  <si>
    <t>"Retail" Peers</t>
  </si>
  <si>
    <t>EBITDA Exit @ 6.5% WACC</t>
  </si>
  <si>
    <t>Min</t>
  </si>
  <si>
    <t>Max</t>
  </si>
  <si>
    <t>Min Val</t>
  </si>
  <si>
    <t>Max Val</t>
  </si>
  <si>
    <t>2020E EV/EBITDA</t>
  </si>
  <si>
    <t>52-Week Trading Range</t>
  </si>
  <si>
    <t>Wall Street Research Targets</t>
  </si>
  <si>
    <t>Discounted Cash Flow</t>
  </si>
  <si>
    <t>2024E P/E</t>
  </si>
  <si>
    <t>Bed Bath &amp; Beyond</t>
  </si>
  <si>
    <t>Gap</t>
  </si>
  <si>
    <t>L Brands</t>
  </si>
  <si>
    <t>Macy's</t>
  </si>
  <si>
    <t>Nordstrom</t>
  </si>
  <si>
    <t>Ross Stores</t>
  </si>
  <si>
    <t>Target</t>
  </si>
  <si>
    <t>TJX Cos.</t>
  </si>
  <si>
    <t>Total Revenue</t>
  </si>
  <si>
    <t>% Growth</t>
  </si>
  <si>
    <t>% Margin</t>
  </si>
  <si>
    <t>Cash Flow Profile</t>
  </si>
  <si>
    <t>Non-Cash D&amp;A</t>
  </si>
  <si>
    <t>Total Gross Profit</t>
  </si>
  <si>
    <t>Capital Expenditures</t>
  </si>
  <si>
    <t xml:space="preserve">Unlevered Free Cash Flow </t>
  </si>
  <si>
    <t>Base Operating Case</t>
  </si>
  <si>
    <t xml:space="preserve">SG&amp;A % Revenue Increase </t>
  </si>
  <si>
    <t>Closure % Revenue</t>
  </si>
  <si>
    <t>Closure % of Revenue</t>
  </si>
  <si>
    <t>EBITDA Margin</t>
  </si>
  <si>
    <t>% EBITDA Growth</t>
  </si>
  <si>
    <t>EBIT Margin</t>
  </si>
  <si>
    <t>% Earnings Growth</t>
  </si>
  <si>
    <t>CapEx/Sales</t>
  </si>
  <si>
    <t>ROIC</t>
  </si>
  <si>
    <t>GPS</t>
  </si>
  <si>
    <t>LB</t>
  </si>
  <si>
    <t>M</t>
  </si>
  <si>
    <t>BBBY</t>
  </si>
  <si>
    <t>JWN</t>
  </si>
  <si>
    <t>TGT</t>
  </si>
  <si>
    <t>TJX</t>
  </si>
  <si>
    <t>KSS</t>
  </si>
  <si>
    <t>ROSt</t>
  </si>
  <si>
    <t>% COMP Growth</t>
  </si>
  <si>
    <t>7% wacc, -.5% perp</t>
  </si>
  <si>
    <t>6% wacc, .5% perp</t>
  </si>
  <si>
    <t>DCF WACC</t>
  </si>
  <si>
    <t>DCF PERP</t>
  </si>
  <si>
    <t>PERP RETURN</t>
  </si>
  <si>
    <t xml:space="preserve">Case </t>
  </si>
  <si>
    <t xml:space="preserve">DCF EXIT </t>
  </si>
  <si>
    <t>EXIT RETURN</t>
  </si>
  <si>
    <t>Output</t>
  </si>
  <si>
    <t>Shares Out</t>
  </si>
  <si>
    <t>=CIQ("KSS","IQ_NET_DEBT",IQ_CQ)</t>
  </si>
  <si>
    <t>=CIQ("KSS","IQ_CLOSEPRICE")</t>
  </si>
  <si>
    <t>AwABTAVMT0NBTAFI/////wFQugAAAA5DSVEuSldOLklRX1RFVgEAAADXfQAAAgAAAAs5NTYxLjAyMTA0NAEGAAAABQAAAAExAQAAAAoxOTgyOTI0NzA0AwAAAAMxNjACAAAABjEwMDA2MAQAAAABMAcAAAAJMTEvNi8yMDE5VqfJDINj1wh/B+sMg2PXCB1DSVEuR1BTLklRX0NPTU1PTl9ESVZfQ0YuMTAwMAEAAABZLwQAAgAAAAQtMzczAQgAAAAFAAAAATEBAAAACjE5NTAzMTU1OTADAAAAAzE2MAIAAAAEMjA3NAQAAAABMAcAAAAJMTEvNy8yMDE5CAAAAAgyLzIvMjAxOQkAAAABMFanyQyDY9cISaXoDINj1wgWQ0lRLlJPU1MuSVFfQ0xPU0VQUklDRQEAAACGhAAAAwAAAAAAMjI2Wjxj1whf7iOJPWPXCA5DSVEuR1BTLklRX1RFVgEAAABZLwQAAgAAAAwxMzAzMC43MTM4ODIBBgAAAAUAAAABMQEAAAAKMTk4MTcwNTQ0MgMAAAADMTYwAgAAAAYxMDAwNjAEAAAAATAHAAAACTExLzYvMjAxOVanyQyDY9cISaXoDINj1wgUQ0lRLlRHVC5JUV9NQVJLRVRDQVABAAAAZqkCAAIAAAAMNTY0NjIuNzEwNDE0AQYAAAAFAAAAATEBAAAACjE5ODE3MDU0NjEDAAAAAzE2MAIAAAAGMTAwMDU0BAAAAAEwBwAAAAkxMS82LzIwMTlWp8kMg2PXCEml6AyDY9cIG0NJUS5MQi5JUV9UT1RBTF9FUVVJVFkuMTAwMAEAAABoWwQAAgAAAAQtODY1AQgAAAAFAAAAATEBAAAACjE5NTA3NDc3NzADAAAAAzE2MAIAAAAEMTI3NQQAAAAB</t>
  </si>
  <si>
    <t>MAcAAAAJMTEvNy8yMDE5CAAAAAgyLzIvMjAxOQkAAAABMFanyQyDY9cISaXoDINj1wgbQ0lRLlJPU1QuSVFfVE9UQUxfREVCVC4xMDAwAQAAAIaEAAACAAAABjMxMi40NAEIAAAABQAAAAExAQAAAAoxOTUyMzIwNjIwAwAAAAMxNjACAAAABDQxNzMEAAAAATAHAAAACTExLzcvMjAxOQgAAAAIMi8yLzIwMTkJAAAAATBWp8kMg2PXCH8H6wyDY9cIE0NJUS5ST1NULklRX05JLjEwMDABAAAAhoQAAAIAAAAIMTU4Ny40NTcBCAAAAAUAAAABMQEAAAAKMTk1MjMyMDYyMAMAAAADMTYwAgAAAAIxNQQAAAABMAcAAAAJMTEvNy8yMDE5CAAAAAgyLzIvMjAxOQkAAAABMFanyQyDY9cIfwfrDINj1wgWQ0lRLlJPU1QuSVFfQ0xPU0VQUklDRQEAAACGhAAAAgAAAAYxMTIuMjYAVqfJDINj1wh/B+sMg2PXCBRDSVEuR1BTLklRX01BUktFVENBUAEAAABZLwQAAgAAAAs2NjYyLjcxMzg4MgEGAAAABQAAAAExAQAAAAoxOTgxNzA1NDQyAwAAAAMxNjACAAAABjEwMDA1NAQAAAABMAcAAAAJMTEvNi8yMDE5VqfJDINj1wh/B+sMg2PXCBhDSVEuQkJCWS5JUV9TQU1FX1NUT1JFLkwFAAAAAAAAAAgAAAAVKEludmFsaWQgVGltZSBQZXJpb2QpHrSL7D1j1wh6KpPsPWPXCBtDSVEuTS5JUV9FQklUREFfTUFSR0lOLjEwMDABAAAAi9oEAAIAAAAGOC41Mzk1AQgAAAAFAAAAATEBAAAACjE5NTI1MzUzNzgDAAAAAzE2MAIAAAAENDA0</t>
  </si>
  <si>
    <t>NwQAAAABMAcAAAAJMTEvNy8yMDE5CAAAAAgyLzIvMjAxOQkAAAABMFanyQyDY9cIfwfrDINj1wgVQ0lRLkdQUy5JUV9DTE9TRVBSSUNFAQAAAFkvBAACAAAABTE3LjczAFanyQyDY9cIfwfrDINj1wgcQ0lRLlRKWC5JUV9UT1RBTF9FUVVJVFkuMTAwMAEAAAAArgQAAgAAAAg1MDQ4LjYwNgEIAAAABQAAAAExAQAAAAoxOTUyNTYxNDEwAwAAAAMxNjACAAAABDEyNzUEAAAAATAHAAAACTExLzcvMjAxOQgAAAAIMi8yLzIwMTkJAAAAATBWp8kMg2PXCEml6AyDY9cIG0NJUS5ST1NULklRX0VCSVREQV9FU1QuNjAwMAEAAACGhAAAAgAAAAkyNjI0LjM5NjEBDgAAAAUAAAACMTEBAAAAATACAAAACTQ3OTEwMjM4OQMAAAAGMTAwMTg3BAAAAAEyBgAAAAEwBwAAAAMxNjAIAAAAATAJAAAAATEKAAAAATALAAAACzExNjYwODQ4MjcyDAAAAAIxMg0AAAAJMTEvOC8yMDE5EAAAAAkxMS83LzIwMTlWp8kMg2PXCH8H6wyDY9cIG0NJUS5USlguSVFfRUJJVF9NQVJHSU4uMTAwMAEAAAAArgQAAgAAAAcxMC44MjMzAQgAAAAFAAAAATEBAAAACjE5NTI1NjE0MTADAAAAAzE2MAIAAAAENDA1MwQAAAABMAcAAAAJMTEvNy8yMDE5CAAAAAgyLzIvMjAxOQkAAAABMFanyQyDY9cIfwfrDINj1wgQQ0lRLkNMT1NFX1BSSUNFLgUAAAAAAAAACAAAABYoSW52YWxpZCBGb3JtdWxhIE5hbWUpYY+K5Dtj1wgyoJLkO2PXCBhDSVEuTS5J</t>
  </si>
  <si>
    <t>UV9TQU1FX1NUT1JFLjUwMDABAAAAi9oEAAIAAAADMC4yAFanyQyDY9cISaXoDINj1wgbQ0lRLlJPU1QuSVFfU0FNRV9TVE9SRS41MDAwAQAAAIaEAAACAAAAATMAVqfJDINj1wh/B+sMg2PXCB5DSVEuQkJCWS5JUV9FQklUREFfTUFSR0lOLjEwMDABAAAA8ugEAAIAAAAGNi4zMzE0AQgAAAAFAAAAATEBAAAACjE5NTgxOTA4NzEDAAAAAzE2MAIAAAAENDA0NwQAAAABMAcAAAAJMTEvNy8yMDE5CAAAAAgzLzIvMjAxOQkAAAABMFanyQyDY9cIfwfrDINj1wgbQ0lRLlJPU1MuSVFfRUJJVERBX0VTVC42MDAwAQAAAIaEAAACAAAACTI2MjQuMzk2MQEOAAAABQAAAAIxMQEAAAABMAIAAAAJNDc5MTAyMzg5AwAAAAYxMDAxODcEAAAAATIGAAAAATAHAAAAAzE2MAgAAAABMAkAAAABMQoAAAABMAsAAAALMTE2NjA4NDgyNzIMAAAAAjEyDQAAAAkxMS84LzIwMTkQAAAACTExLzcvMjAxOevRAHY9Y9cIiV4Idj1j1wgTQ0lRLkJCQlkuSVFfTkkuMTAwMAEAAADy6AQAAgAAAAgtMTM3LjIyNAEIAAAABQAAAAExAQAAAAoxOTU4MTkwODcxAwAAAAMxNjACAAAAAjE1BAAAAAEwBwAAAAkxMS83LzIwMTkIAAAACDMvMi8yMDE5CQAAAAEwVqfJDINj1whJpegMg2PXCBBDSVEuLklRX1lFQVJISUdIBQAAAAAAAAAIAAAAFChJbnZhbGlkIElkZW50aWZpZXIpWsrtbD1j1whs/PZsPWPXCB5DSVEuQkJCWS5JUV9DT01NT05fRElW</t>
  </si>
  <si>
    <t>X0NGLjEwMDABAAAA8ugEAAIAAAAHLTg2LjI4NwEIAAAABQAAAAExAQAAAAoxOTU4MTkwODcxAwAAAAMxNjACAAAABDIwNzQEAAAAATAHAAAACTExLzcvMjAxOQgAAAAIMy8yLzIwMTkJAAAAATBWp8kMg2PXCEml6AyDY9cIG0NJUS5NLklRX0NPTU1PTl9ESVZfQ0YuMTAwMAEAAACL2gQAAgAAAAQtNDYzAQgAAAAFAAAAATEBAAAACjE5NTI1MzUzNzgDAAAAAzE2MAIAAAAEMjA3NAQAAAABMAcAAAAJMTEvNy8yMDE5CAAAAAgyLzIvMjAxOQkAAAABMFanyQyDY9cISaXoDINj1wgcQ0lRLkdQUy5JUV9UT1RBTF9FUVVJVFkuMTAwMAEAAABZLwQAAgAAAAQzNTUzAQgAAAAFAAAAATEBAAAACjE5NTAzMTU1OTADAAAAAzE2MAIAAAAEMTI3NQQAAAABMAcAAAAJMTEvNy8yMDE5CAAAAAgyLzIvMjAxOQkAAAABMFanyQyDY9cISaXoDINj1wgbQ0lRLkJCQlkuSVFfRUJJVERBX0VTVC42MDAwAQAAAPLoBAACAAAACDY4Ny45MTU1AQ4AAAAFAAAAAjExAQAAAAEwAgAAAAc4MzA0MzQxAwAAAAYxMDAxODcEAAAAATIGAAAAATAHAAAAAzE2MAgAAAABMAkAAAABMQoAAAABMAsAAAALMTE2MzI0MDg0NzUMAAAAAjEyDQAAAAkxMS84LzIwMTkQAAAACTExLzcvMjAxOVanyQyDY9cIfwfrDINj1wgYQ0lRLk0uSVFfVE9UQUxfREVCVC4xMDAwAQAAAIvaBAACAAAABDQ5MzEBCAAAAAUAAAABMQEAAAAKMTk1MjUzNTM3OAMAAAAD</t>
  </si>
  <si>
    <t>MTYwAgAAAAQ0MTczBAAAAAEwBwAAAAkxMS83LzIwMTkIAAAACDIvMi8yMDE5CQAAAAEwVqfJDINj1whJpegMg2PXCBRDSVEuUk9TUy5JUV9ZRUFSSElHSAEAAACGhAAAAwAAAAAAWsrtbD1j1wgEsUmNPWPXCBJDSVEuVEpYLklRX05JLjEwMDABAAAAAK4EAAIAAAAIMzA1OS43OTgBCAAAAAUAAAABMQEAAAAKMTk1MjU2MTQxMAMAAAADMTYwAgAAAAIxNQQAAAABMAcAAAAJMTEvNy8yMDE5CAAAAAgyLzIvMjAxOQkAAAABMFanyQyDY9cISaXoDINj1wgTQ0lRLlRKWC5JUV9ZRUFSSElHSAEAAAAArgQAAgAAAAU2MC44OQBWp8kMg2PXCH8H6wyDY9cIHUNJUS5KV04uSVFfRUJJVERBX01BUkdJTi4xMDAwAQAAANd9AAACAAAABjkuOTQ5NQEIAAAABQAAAAExAQAAAAoxOTUwMTUxNjE4AwAAAAMxNjACAAAABDQwNDcEAAAAATAHAAAACTExLzcvMjAxOQgAAAAIMi8yLzIwMTkJAAAAATBWp8kMg2PXCEml6AyDY9cIIENJUS5UR1QuSVFfRUJJVERBXzFZUl9BTk5fR1JPV1RIAQAAAGapAgACAAAABjEuOTc4NgEIAAAABQAAAAExAQAAAAoxOTgxNzA2NTUyAwAAAAMxNjACAAAABDQxOTYEAAAAATAHAAAACTExLzcvMjAxOQgAAAAIOC8zLzIwMTkJAAAAATBWp8kMg2PXCH8H6wyDY9cIEkNJUS5LU1MuSVFfR0VUREFURQUAAAAAAAAACAAAABYoSW52YWxpZCBGb3JtdWxhIE5hbWUphTdoY4lj1wgxPGxjiWPXCB1DSVEu</t>
  </si>
  <si>
    <t>VEdULklRX0VQU18xWVJfQU5OX0dST1dUSAEAAABmqQIAAgAAAAY2LjE2MTUBCAAAAAUAAAABMQEAAAAKMTk4MTcwNjU1MgMAAAADMTYwAgAAAAQ0MjAwBAAAAAEwBwAAAAkxMS83LzIwMTkIAAAACDgvMy8yMDE5CQAAAAEwVqfJDINj1whJpegMg2PXCBlDSVEuS1NTLklRX0xBU1RTU0FMRVBSSUNFBQAAAAAAAAAIAAAAFihJbnZhbGlkIEZvcm11bGEgTmFtZSmw3fKNiWPXCP749o2JY9cIGENJUS5KV04uSVFfRUJJVF9FU1QuNjAwMAEAAADXfQAAAgAAAAg4MjQuMjI4OAEOAAAABQAAAAIxMQEAAAABMAIAAAAIMTA2OTM1MzkDAAAABjEwMDIxNQQAAAABMgYAAAABMAcAAAADMTYwCAAAAAEwCQAAAAExCgAAAAEwCwAAAAsxMTY2MDgxMzcwNgwAAAACMTINAAAACTExLzgvMjAxORAAAAAJMTEvNy8yMDE5VqfJDINj1wh/B+sMg2PXCBpDSVEuS1NTLklRX0VCSVREQV9FU1QuNjAwMAEAAAA77wAAAgAAAAkyMTg3LjY2MjQBDgAAAAUAAAACMTEBAAAAATACAAAACDExMjA4ODM0AwAAAAYxMDAxODcEAAAAATIGAAAAATAHAAAAAzE2MAgAAAABMAkAAAABMQoAAAABMAsAAAALMTE2NjA4MjA3MTUMAAAAAjEyDQAAAAkxMS84LzIwMTkQAAAACTExLzcvMjAxOVanyQyDY9cISaXoDINj1wgXQ0lRLlJPU1QuSVFfUEVfRVhDTF9GV0QBAAAAhoQAAAIAAAAQMjMuNTgxMDYxMjEwNzcxOAENAAAABQAAAAE5AQAAAAcyNjQz</t>
  </si>
  <si>
    <t>NzI1AgAAAAk0NzkxMDIzODkDAAAABjEwMDMwOQQAAAABMgYAAAABMAcAAAADMTYwCAAAAAEwCQAAAAExCgAAAAEwCwAAAAsxMTYzOTYyNjM0OAwAAAACMTINAAAACTExLzgvMjAxOVanyQyDY9cIfwfrDINj1wgVQ0lRLkdQUy5JUV9DQVBFWC4xMDAwAQAAAFkvBAACAAAABC03MDUBCAAAAAUAAAABMQEAAAAKMTk1MDMxNTU5MAMAAAADMTYwAgAAAAQyMDIxBAAAAAEwBwAAAAkxMS83LzIwMTkIAAAACDIvMi8yMDE5CQAAAAEwVqfJDINj1whJpegMg2PXCBlDSVEuTEIuSVFfVE9UQUxfREVCVC4xMDAwAQAAAGhbBAACAAAABDU4MzgBCAAAAAUAAAABMQEAAAAKMTk1MDc0Nzc3MAMAAAADMTYwAgAAAAQ0MTczBAAAAAEwBwAAAAkxMS83LzIwMTkIAAAACDIvMi8yMDE5CQAAAAEwVqfJDINj1whJpegMg2PXCBdDSVEuQkJCWS5JUV9QRV9FWENMX0ZXRAEAAADy6AQAAgAAABA3LjQ3NDQwMDk1NjM5MDY2AQ0AAAAFAAAAATkBAAAABzI1OTM4OTACAAAABzgzMDQzNDEDAAAABjEwMDMwOQQAAAABMgYAAAABMAcAAAADMTYwCAAAAAEwCQAAAAExCgAAAAEwCwAAAAsxMTYzMjQwODQ5NQwAAAACMTINAAAACTExLzgvMjAxOVanyQyDY9cIfwfrDINj1wgdQ0lRLlRHVC5JUV9FQklUREFfTUFSR0lOLjEwMDABAAAAZqkCAAIAAAAGOC44OTI0AQgAAAAFAAAAATEBAAAACjE5NDk0OTg4NzMDAAAAAzE2MAIAAAAENDA0NwQA</t>
  </si>
  <si>
    <t>AAABMAcAAAAJMTEvNy8yMDE5CAAAAAgyLzIvMjAxOQkAAAABMFanyQyDY9cISaXoDINj1wgUQ0lRLktTUy5JUV9NQVJLRVRDQVABAAAAO+8AAAIAAAALODY1NC45MDMxNzEBBgAAAAUAAAABMQEAAAAKMTk4MzQwNjg5OAMAAAADMTYwAgAAAAYxMDAwNTQEAAAAATAHAAAACTExLzYvMjAxOVanyQyDY9cISaXoDINj1wgaQ0lRLk0uSVFfVE9UQUxfRVFVSVRZLjEwMDABAAAAi9oEAAIAAAAENjQzNgEIAAAABQAAAAExAQAAAAoxOTUyNTM1Mzc4AwAAAAMxNjACAAAABDEyNzUEAAAAATAHAAAACTExLzcvMjAxOQgAAAAIMi8yLzIwMTkJAAAAATBWp8kMg2PXCEml6AyDY9cIHUNJUS5KV04uSVFfQ09NTU9OX0RJVl9DRi4xMDAwAQAAANd9AAACAAAABC0yNTABCAAAAAUAAAABMQEAAAAKMTk1MDE1MTYxOAMAAAADMTYwAgAAAAQyMDc0BAAAAAEwBwAAAAkxMS83LzIwMTkIAAAACDIvMi8yMDE5CQAAAAEwVqfJDINj1wh/B+sMg2PXCCBDSVEuR1BTLklRX0VCSVREQV8xWVJfQU5OX0dST1dUSAEAAABZLwQAAgAAAAYyLjQ3MjkBCAAAAAUAAAABMQEAAAAKMTk4MTcwNjU1NwMAAAADMTYwAgAAAAQ0MTk2BAAAAAEwBwAAAAkxMS83LzIwMTkIAAAACDgvMy8yMDE5CQAAAAEwVqfJDINj1wh/B+sMg2PXCBpDSVEuS1NTLklRX1RPVEFMX0RFQlQuMTAwMAEAAAA77wAAAgAAAAQzNDk5AQgAAAAFAAAAATEBAAAACjE5NTA3</t>
  </si>
  <si>
    <t>NTMyODADAAAAAzE2MAIAAAAENDE3MwQAAAABMAcAAAAJMTEvNy8yMDE5CAAAAAgyLzIvMjAxOQkAAAABMFanyQyDY9cISaXoDINj1wgSQ0lRLkpXTi5JUV9OSS4xMDAwAQAAANd9AAACAAAAAzU2NAEIAAAABQAAAAExAQAAAAoxOTUwMTUxNjE4AwAAAAMxNjACAAAAAjE1BAAAAAEwBwAAAAkxMS83LzIwMTkIAAAACDIvMi8yMDE5CQAAAAEwVqfJDINj1wh/B+sMg2PXCBVDSVEuS1NTLklRX0NMT1NFUFJJQ0UBAAAAO+8AAAIAAAAFNTQuMzkAVqfJDINj1whwS8NNiWPXCAxDSVEuTS5JUV9URVYBAAAAi9oEAAIAAAAMMTIxMzIuMzcwODQxAQYAAAAFAAAAATEBAAAACjE5ODE3Mzc3MzYDAAAAAzE2MAIAAAAGMTAwMDYwBAAAAAEwBwAAAAkxMS82LzIwMTlWp8kMg2PXCH8H6wyDY9cIGENJUS5LU1MuSVFfTEFTVFNBTEVQUklDRQEAAAA77wAAAgAAAAc1Ny4wMjkzAMRYQ5SJY9cI3ZxHlIlj1wgcQ0lRLkxCLklRX0VQU18xWVJfQU5OX0dST1dUSAEAAABoWwQAAgAAAAgtMzQuMzc0OQEIAAAABQAAAAExAQAAAAoxOTgzNDA3MjQ1AwAAAAMxNjACAAAABDQyMDAEAAAAATAHAAAACTExLzcvMjAxOQgAAAAIOC8zLzIwMTkJAAAAATBWp8kMg2PXCEml6AyDY9cID0NJUS5ST1NULklRX1RFVgEAAACGhAAAAgAAAAw0MjU4NC41Njc5NDkBBgAAAAUAAAABMQEAAAAKMTk4NDIwMDIxNAMAAAADMTYwAgAAAAYxMDAwNjAE</t>
  </si>
  <si>
    <t>AAAAATAHAAAACTExLzYvMjAxOVanyQyDY9cIfwfrDINj1wgUQ0lRLkpXTi5JUV9NQVJLRVRDQVABAAAA130AAAIAAAALNTY5MC4wMjEwNDUBBgAAAAUAAAABMQEAAAAKMTk4MjkyNDcwNAMAAAADMTYwAgAAAAYxMDAwNTQEAAAAATAHAAAACTExLzYvMjAxOVanyQyDY9cISaXoDINj1wgcQ0lRLkxCLklRX0NPTU1PTl9ESVZfQ0YuMTAwMAEAAABoWwQAAgAAAAQtNjY2AQgAAAAFAAAAATEBAAAACjE5NTA3NDc3NzADAAAAAzE2MAIAAAAEMjA3NAQAAAABMAcAAAAJMTEvNy8yMDE5CAAAAAgyLzIvMjAxOQkAAAABMFanyQyDY9cISaXoDINj1wgeQ0lRLlJPU1QuSVFfRVBTXzFZUl9BTk5fR1JPV1RIAQAAAIaEAAACAAAABjguMzE1NAEIAAAABQAAAAExAQAAAAoxOTg0MjAxMjE0AwAAAAMxNjACAAAABDQyMDAEAAAAATAHAAAACTExLzcvMjAxOQgAAAAIOC8zLzIwMTkJAAAAATBWp8kMg2PXCEml6AyDY9cIIUNJUS5ST1NULklRX0VCSVREQV8xWVJfQU5OX0dST1dUSAEAAACGhAAAAgAAAActMC44MDEyAQgAAAAFAAAAATEBAAAACjE5ODQyMDEyMTQDAAAAAzE2MAIAAAAENDE5NgQAAAABMAcAAAAJMTEvNy8yMDE5CAAAAAg4LzMvMjAxOQkAAAABMFanyQyDY9cIfwfrDINj1wgSQ0lRLi5JUV9DQVBFWC4xMDAwBQAAAAAAAAAIAAAAFChJbnZhbGlkIElkZW50aWZpZXIpvToxHz9j1wghxzgfP2PXCA5DSVEuVEpY</t>
  </si>
  <si>
    <t>LklRX1RFVgEAAAAArgQAAgAAAAw4MDI2Ni44MzQ3OTkBBgAAAAUAAAABMQEAAAAKMTk4MTYxNTA4NgMAAAADMTYwAgAAAAYxMDAwNjAEAAAAATAHAAAACTExLzYvMjAxOVanyQyDY9cIfwfrDINj1wghQ0lRLkJCQlkuSVFfRUJJVERBXzFZUl9BTk5fR1JPV1RIAQAAAPLoBAACAAAACC00NS4yNzU4AQgAAAAFAAAAATEBAAAACjE5ODcyNjM2NDEDAAAAAzE2MAIAAAAENDE5NgQAAAABMAcAAAAJMTEvNy8yMDE5CAAAAAk4LzMxLzIwMTkJAAAAATBWp8kMg2PXCH8H6wyDY9cIG0NJUS5HUFMuSVFfRUJJVF9NQVJHSU4uMTAwMAEAAABZLwQAAgAAAAU4LjI4NwEIAAAABQAAAAExAQAAAAoxOTUwMzE1NTkwAwAAAAMxNjACAAAABDQwNTMEAAAAATAHAAAACTExLzcvMjAxOQgAAAAIMi8yLzIwMTkJAAAAATBWp8kMg2PXCH8H6wyDY9cIIENJUS5LU1MuSVFfRUJJVERBXzFZUl9BTk5fR1JPV1RIAQAAADvvAAACAAAABy04LjgzNDMBCAAAAAUAAAABMQEAAAAKMTk4MzQwNzI0NAMAAAADMTYwAgAAAAQ0MTk2BAAAAAEwBwAAAAkxMS83LzIwMTkIAAAACDgvMy8yMDE5CQAAAAEwVqfJDINj1whJpegMg2PXCAxDSVEuNC5JUV9URVYBAAAAYFYNAAIAAAAMODY3NTMuNTE5MjEzAQYAAAAFAAAAATEBAAAACjE5ODQwOTA1MTQDAAAAAjY0AgAAAAYxMDAwNjAEAAAAATAHAAAACTExLzcvMjAxOXiPpVs9Y9cI56WrWz1j1wge</t>
  </si>
  <si>
    <t>Q0lRLlJPU1QuSVFfQ09NTU9OX0RJVl9DRi4xMDAwAQAAAIaEAAACAAAACC0zMzcuMTg5AQgAAAAFAAAAATEBAAAACjE5NTIzMjA2MjADAAAAAzE2MAIAAAAEMjA3NAQAAAABMAcAAAAJMTEvNy8yMDE5CAAAAAgyLzIvMjAxOQkAAAABMFanyQyDY9cIfwfrDINj1wgWQ0lRLkJCQlkuSVFfU0FNRV9TVE9SRQEAAADy6AQAAwAAAAAAk1/v3j1j1wgzUPXePWPXCBVDSVEuVEpYLklRX1NBTUVfU1RPUkUBAAAAAK4EAAMAAAAAAHGa0OA9Y9cIkAnY4D1j1wgPQ0lRLkJCQlkuSVFfVEVWAQAAAPLoBAACAAAACjQ2NDcuODY2MzIBBgAAAAUAAAABMQEAAAAKMTk4NzI2MzUyOQMAAAADMTYwAgAAAAYxMDAwNjAEAAAAATAHAAAACTExLzYvMjAxOVanyQyDY9cIfwfrDINj1wgaQ0lRLkdQUy5JUV9FQklUREFfRVNULjYwMDABAAAAWS8EAAIAAAAHMTY0OC43OAEOAAAABQAAAAIxMQEAAAABMAIAAAAHODI1MTAxMwMAAAAGMTAwMTg3BAAAAAEyBgAAAAEwBwAAAAMxNjAIAAAAATAJAAAAATEKAAAAATALAAAACzExNjYwODkzMzA3DAAAAAIxMg0AAAAJMTEvOC8yMDE5EAAAAAkxMS83LzIwMTlWp8kMg2PXCEml6AyDY9cIEkNJUS5NLklRX01BUktFVENBUAEAAACL2gQAAgAAAAs0OTMzLjM3MDg0MQEGAAAABQAAAAExAQAAAAoxOTgxNzM3NzM2AwAAAAMxNjACAAAABjEwMDA1NAQAAAABMAcAAAAJMTEvNi8yMDE5VqfJDINj</t>
  </si>
  <si>
    <t>1wh/B+sMg2PXCBNDSVEuTS5JUV9DTE9TRVBSSUNFAQAAAIvaBAACAAAABTE1Ljk3AFanyQyDY9cIfwfrDINj1wgTQ0lRLktTUy5JUV9ZRUFSSElHSAEAAAA77wAAAgAAAAU4My4yOABWp8kMg2PXCH8H6wyDY9cIFUNJUS5ST1NTLklRX01BUktFVENBUAEAAACGhAAAAwAAAAAAWsrtbD1j1whs/PZsPWPXCBFDSVEuTEIuSVFfTkkuMTAwMAEAAABoWwQAAgAAAAM2NDQBCAAAAAUAAAABMQEAAAAKMTk1MDc0Nzc3MAMAAAADMTYwAgAAAAIxNQQAAAABMAcAAAAJMTEvNy8yMDE5CAAAAAgyLzIvMjAxOQkAAAABMFanyQyDY9cISaXoDINj1wgaQ0lRLkxCLklRX0VCSVRfTUFSR0lOLjEwMDABAAAAaFsEAAIAAAAHMTAuODc4NQEIAAAABQAAAAExAQAAAAoxOTUwNzQ3NzcwAwAAAAMxNjACAAAABDQwNTMEAAAAATAHAAAACTExLzcvMjAxOQgAAAAIMi8yLzIwMTkJAAAAATBWp8kMg2PXCH8H6wyDY9cIE0NJUS5UR1QuSVFfWUVBUkhJR0gBAAAAZqkCAAIAAAAGMTE0LjgzAFanyQyDY9cIfwfrDINj1wgdQ0lRLlRKWC5JUV9FUFNfMVlSX0FOTl9HUk9XVEgBAAAAAK4EAAIAAAAGNS42OTY3AQgAAAAFAAAAATEBAAAACjE5ODE2MTU2MjYDAAAAAzE2MAIAAAAENDIwMAQAAAABMAcAAAAJMTEvNy8yMDE5CAAAAAg4LzMvMjAxOQkAAAABMFanyQyDY9cIfwfrDINj1wgcQ0lRLlRHVC5JUV9UT1RBTF9FUVVJVFkuMTAwMAEA</t>
  </si>
  <si>
    <t>AABmqQIAAgAAAAUxMTI5NwEIAAAABQAAAAExAQAAAAoxOTQ5NDk4ODczAwAAAAMxNjACAAAABDEyNzUEAAAAATAHAAAACTExLzcvMjAxOQgAAAAIMi8yLzIwMTkJAAAAATBWp8kMg2PXCEml6AyDY9cICUNJUS4uQkJCWQUAAAAAAAAACAAAABQoSW52YWxpZCBJZGVudGlmaWVyKaaKcQg8Y9cIJWB3CDxj1wgcQ0lRLlJPU1QuSVFfRUJJVF9NQVJHSU4uMTAwMAEAAACGhAAAAgAAAAcxMy42MTk3AQgAAAAFAAAAATEBAAAACjE5NTIzMjA2MjADAAAAAzE2MAIAAAAENDA1MwQAAAABMAcAAAAJMTEvNy8yMDE5CAAAAAgyLzIvMjAxOQkAAAABMFanyQyDY9cISaXoDINj1wgLQ0lRLi5JUV9URVYFAAAAAAAAAAgAAAAUKEludmFsaWQgSWRlbnRpZmllcil0HfVUPWPXCNEblGw9Y9cIFUNJUS5ST1NULklRX01BUktFVENBUAEAAACGhAAAAgAAAAw0MDYwNy44NTY5NDkBBgAAAAUAAAABMQEAAAAKMTk4NDIwMDIxNAMAAAADMTYwAgAAAAYxMDAwNTQEAAAAATAHAAAACTExLzYvMjAxOVanyQyDY9cIfwfrDINj1wgSQ0lRLlRHVC5JUV9OSS4xMDAwAQAAAGapAgACAAAABDI5MzcBCAAAAAUAAAABMQEAAAAKMTk0OTQ5ODg3MwMAAAADMTYwAgAAAAIxNQQAAAABMAcAAAAJMTEvNy8yMDE5CAAAAAgyLzIvMjAxOQkAAAABMFanyQyDY9cISaXoDINj1wgaQ0lRLlRHVC5JUV9UT1RBTF9ERUJULjEwMDABAAAAZqkCAAIAAAAF</t>
  </si>
  <si>
    <t>MTM0NDgBCAAAAAUAAAABMQEAAAAKMTk0OTQ5ODg3MwMAAAADMTYwAgAAAAQ0MTczBAAAAAEwBwAAAAkxMS83LzIwMTkIAAAACDIvMi8yMDE5CQAAAAEwVqfJDINj1whJpegMg2PXCBVDSVEuQkJCWS5JUV9NQVJLRVRDQVABAAAA8ugEAAIAAAALMTc2OS40ODgzMjEBBgAAAAUAAAABMQEAAAAKMTk4NzI2MzUyOQMAAAADMTYwAgAAAAYxMDAwNTQEAAAAATAHAAAACTExLzYvMjAxOVanyQyDY9cISaXoDINj1wgWQ0lRLktTUy5JUV9QRV9FWENMX0ZXRAEAAAA77wAAAgAAABAxMC4zMTAxMTg2NjM5ODc2AQ0AAAAFAAAAATkBAAAABzI2MjQyNTICAAAACDExMjA4ODM0AwAAAAYxMDAzMDkEAAAAATIGAAAAATAHAAAAAzE2MAgAAAABMAkAAAABMQoAAAABMAsAAAALMTE2NTkzMDY5MTcMAAAAAjEyDQAAAAkxMS84LzIwMTlWp8kMg2PXCEml6AyDY9cIE0NJUS5HUFMuSVFfWUVBUkhJR0gBAAAAWS8EAAIAAAAFMzEuMzkAVqfJDINj1wh/B+sMg2PXCBtDSVEuQkJCWS5JUV9UT1RBTF9ERUJULjEwMDABAAAA8ugEAAIAAAAIMTU4OS42MzQBCAAAAAUAAAABMQEAAAAKMTk1ODE5MDg3MQMAAAADMTYwAgAAAAQ0MTczBAAAAAEwBwAAAAkxMS83LzIwMTkIAAAACDMvMi8yMDE5CQAAAAEwVqfJDINj1whJpegMg2PXCBdDSVEuUk9TUy5JUV9QRV9FWENMX0ZXRAEAAACGhAAAAwAAAAAAWsrtbD1j1wh51fZsPWPXCBVDSVEu</t>
  </si>
  <si>
    <t>R1BTLklRX1NBTUVfU1RPUkUBAAAAWS8EAAMAAAAAAHGa0OA9Y9cIkAnY4D1j1wgYQ0lRLkdQUy5JUV9FQklUX0VTVC42MDAwAQAAAFkvBAACAAAACTEwODIuMzk3NwEOAAAABQAAAAIxMQEAAAABMAIAAAAHODI1MTAxMwMAAAAGMTAwMjE1BAAAAAEyBgAAAAEwBwAAAAMxNjAIAAAAATAJAAAAATEKAAAAATALAAAACzExNjczMzkzMTk2DAAAAAIxMg0AAAAJMTEvOC8yMDE5EAAAAAkxMS83LzIwMTlWp8kMg2PXCEml6AyDY9cIG0NJUS5LU1MuSVFfRUJJVF9NQVJHSU4uMTAwMAEAAAA77wAAAgAAAAY3LjA4MzgBCAAAAAUAAAABMQEAAAAKMTk1MDc1MzI4MAMAAAADMTYwAgAAAAQ0MDUzBAAAAAEwBwAAAAkxMS83LzIwMTkIAAAACDIvMi8yMDE5CQAAAAEwVqfJDINj1wh/B+sMg2PXCB1DSVEuS1NTLklRX0NPTU1PTl9ESVZfQ0YuMTAwMAEAAAA77wAAAgAAAAQtNDAwAQgAAAAFAAAAATEBAAAACjE5NTA3NTMyODADAAAAAzE2MAIAAAAEMjA3NAQAAAABMAcAAAAJMTEvNy8yMDE5CAAAAAgyLzIvMjAxOQkAAAABMFanyQyDY9cISaXoDINj1wgSQ0lRLkdQUy5JUV9OSS4xMDAwAQAAAFkvBAACAAAABDEwMDMBCAAAAAUAAAABMQEAAAAKMTk1MDMxNTU5MAMAAAADMTYwAgAAAAIxNQQAAAABMAcAAAAJMTEvNy8yMDE5CAAAAAgyLzIvMjAxOQkAAAABMFanyQyDY9cISaXoDINj1wgTQ0lRLk0uSVFfU0FNRV9TVE9S</t>
  </si>
  <si>
    <t>RQEAAACL2gQAAwAAAAAAcZrQ4D1j1wiQCdjgPWPXCBNDSVEuTEIuSVFfTUFSS0VUQ0FQAQAAAGhbBAACAAAACzQ5NjEuMjI5MzI4AQYAAAAFAAAAATEBAAAACjE5ODM0MDY4OTUDAAAAAzE2MAIAAAAGMTAwMDU0BAAAAAEwBwAAAAkxMS82LzIwMTlWp8kMg2PXCEml6AyDY9cIFUNJUS5USlguSVFfQ0xPU0VQUklDRQEAAAAArgQAAgAAAAU1OC44MwBWp8kMg2PXCH8H6wyDY9cIGUNJUS5NLklRX0VCSVRfTUFSR0lOLjEwMDABAAAAi9oEAAIAAAAFNS45NTIBCAAAAAUAAAABMQEAAAAKMTk1MjUzNTM3OAMAAAADMTYwAgAAAAQ0MDUzBAAAAAEwBwAAAAkxMS83LzIwMTkIAAAACDIvMi8yMDE5CQAAAAEwVqfJDINj1wh/B+sMg2PXCBBDSVEuTS5JUV9OSS4xMDAwAQAAAIvaBAACAAAABDExMDgBCAAAAAUAAAABMQEAAAAKMTk1MjUzNTM3OAMAAAADMTYwAgAAAAIxNQQAAAABMAcAAAAJMTEvNy8yMDE5CAAAAAgyLzIvMjAxOQkAAAABMFanyQyDY9cISaXoDINj1wgdQ0lRLlRHVC5JUV9DT01NT05fRElWX0NGLjEwMDABAAAAZqkCAAIAAAAFLTEzMzUBCAAAAAUAAAABMQEAAAAKMTk0OTQ5ODg3MwMAAAADMTYwAgAAAAQyMDc0BAAAAAEwBwAAAAkxMS83LzIwMTkIAAAACDIvMi8yMDE5CQAAAAEwVqfJDINj1whJpegMg2PXCBhDSVEuS1NTLklRX0VCSVRfRVNULjYwMDABAAAAO+8AAAIAAAAJMTI3OC43NDk0AQ4A</t>
  </si>
  <si>
    <t>AAAFAAAAAjExAQAAAAEwAgAAAAgxMTIwODgzNAMAAAAGMTAwMjE1BAAAAAEyBgAAAAEwBwAAAAMxNjAIAAAAATAJAAAAATEKAAAAATALAAAACzExNjYwODIwNzE5DAAAAAIxMg0AAAAJMTEvOC8yMDE5EAAAAAkxMS83LzIwMTlWp8kMg2PXCH8H6wyDY9cIGENJUS5UR1QuSVFfRUJJVF9FU1QuNjAwMAEAAABmqQIAAgAAAAk0NjUwLjEyMTYBDgAAAAUAAAACMTEBAAAAATACAAAACDQ1Nzg3MjAxAwAAAAYxMDAyMTUEAAAAATIGAAAAATAHAAAAAzE2MAgAAAABMAkAAAABMQoAAAABMAsAAAALMTE2NjUyOTMyNzMMAAAAAjEyDQAAAAkxMS84LzIwMTkQAAAACTExLzcvMjAxOVanyQyDY9cIfwfrDINj1wgXQ0lRLi5JUV9FQklUREFfRVNULjYwMDAFAAAAAAAAAAgAAAAUKEludmFsaWQgSWRlbnRpZmllcilqOb5FPWPXCK71B349Y9cIGUNJUS5MQi5JUV9FQklUREFfRVNULjYwMDABAAAAaFsEAAIAAAAJMTg0Mi44NTM3AQ4AAAAFAAAAAjExAQAAAAEwAgAAAAc5OTQzOTEzAwAAAAYxMDAxODcEAAAAATIGAAAAATAHAAAAAzE2MAgAAAABMAkAAAABMQoAAAABMAsAAAALMTE2NzMzOTE0NzAMAAAAAjEyDQAAAAkxMS84LzIwMTkQAAAACTExLzcvMjAxOVanyQyDY9cIfwfrDINj1wgdQ0lRLkJCQlkuSVFfVE9UQUxfRVFVSVRZLjEwMDABAAAA8ugEAAIAAAAIMjU2MC4zMzEBCAAAAAUAAAABMQEAAAAKMTk1ODE5MDg3</t>
  </si>
  <si>
    <t>MQMAAAADMTYwAgAAAAQxMjc1BAAAAAEwBwAAAAkxMS83LzIwMTkIAAAACDMvMi8yMDE5CQAAAAEwVqfJDINj1whJpegMg2PXCBpDSVEuSldOLklRX0VCSVREQV9FU1QuNjAwMAEAAADXfQAAAgAAAAkxNDk4LjY4NjcBDgAAAAUAAAACMTEBAAAAATACAAAACDEwNjkzNTM5AwAAAAYxMDAxODcEAAAAATIGAAAAATAHAAAAAzE2MAgAAAABMAkAAAABMQoAAAABMAsAAAALMTE2NjA4MTM3MDIMAAAAAjEyDQAAAAkxMS84LzIwMTkQAAAACTExLzcvMjAxOVanyQyDY9cISaXoDINj1wgPQ0lRLlJPU1MuSVFfVEVWAQAAAIaEAAADAAAAAABayu1sPWPXCGz89mw9Y9cIFkNJUS5CQkJZLklRX0NBUEVYLjEwMDABAAAA8ugEAAIAAAAILTMyNS4zNjYBCAAAAAUAAAABMQEAAAAKMTk1ODE5MDg3MQMAAAADMTYwAgAAAAQyMDIxBAAAAAEwBwAAAAkxMS83LzIwMTkIAAAACDMvMi8yMDE5CQAAAAEwVqfJDINj1whJpegMg2PXCBpDSVEuS1NTLklRX1NBTUVfU1RPUkUuNTAwMAEAAAA77wAAAgAAAAQtMi45AFanyQyDY9cISaXoDINj1wgUQ0lRLkxCLklRX0NMT1NFUFJJQ0UBAAAAaFsEAAIAAAAFMTcuOTUAVqfJDINj1whJpegMg2PXCBdDSVEuTEIuSVFfRUJJVF9FU1QuNjAwMAEAAABoWwQAAgAAAAkxMjY5LjU5NjIBDgAAAAUAAAACMTEBAAAAATACAAAABzk5NDM5MTMDAAAABjEwMDIxNQQAAAABMgYAAAABMAcAAAADMTYw</t>
  </si>
  <si>
    <t>CAAAAAEwCQAAAAExCgAAAAEwCwAAAAsxMTY3MzM5MTQ3NAwAAAACMTINAAAACTExLzgvMjAxORAAAAAJMTEvNy8yMDE5VqfJDINj1wh/B+sMg2PXCBNDSVEuS1NTLklRX0dFVF9EQVRFBQAAAAAAAAAIAAAAFihJbnZhbGlkIEZvcm11bGEgTmFtZSlvo6FmiWPXCJmZpWaJY9cIHUNJUS5LU1MuSVFfRUJJVERBX01BUkdJTi4xMDAwAQAAADvvAAACAAAABzExLjg0OTMBCAAAAAUAAAABMQEAAAAKMTk1MDc1MzI4MAMAAAADMTYwAgAAAAQ0MDQ3BAAAAAEwBwAAAAkxMS83LzIwMTkIAAAACDIvMi8yMDE5CQAAAAEwVqfJDINj1whJpegMg2PXCBZDSVEuSldOLklRX1BFX0VYQ0xfRldEAQAAANd9AAACAAAAEDExLjA3NzI2NjQyMTM3NjQBDQAAAAUAAAABOQEAAAAHMjYzNDM0NgIAAAAIMTA2OTM1MzkDAAAABjEwMDMwOQQAAAABMgYAAAABMAcAAAADMTYwCAAAAAEwCQAAAAExCgAAAAEwCwAAAAsxMTY1OTMwODUyMQwAAAACMTINAAAACTExLzgvMjAxOVanyQyDY9cISaXoDINj1wgeQ0lRLlJPU1QuSVFfRUJJVERBX01BUkdJTi4xMDAwAQAAAIaEAAACAAAABzE1LjgyNDUBCAAAAAUAAAABMQEAAAAKMTk1MjMyMDYyMAMAAAADMTYwAgAAAAQ0MDQ3BAAAAAEwBwAAAAkxMS83LzIwMTkIAAAACDIvMi8yMDE5CQAAAAEwVqfJDINj1wh/B+sMg2PXCBpDSVEuR1BTLklRX1RPVEFMX0RFQlQuMTAwMAEAAABZLwQAAgAA</t>
  </si>
  <si>
    <t>AAQxMjQ5AQgAAAAFAAAAATEBAAAACjE5NTAzMTU1OTADAAAAAzE2MAIAAAAENDE3MwQAAAABMAcAAAAJMTEvNy8yMDE5CAAAAAgyLzIvMjAxOQkAAAABMFanyQyDY9cISaXoDINj1wgcQ0lRLktTUy5JUV9UT1RBTF9FUVVJVFkuMTAwMAEAAAA77wAAAgAAAAQ1NTI3AQgAAAAFAAAAATEBAAAACjE5NTA3NTMyODADAAAAAzE2MAIAAAAEMTI3NQQAAAABMAcAAAAJMTEvNy8yMDE5CAAAAAgyLzIvMjAxOQkAAAABMFanyQyDY9cISaXoDINj1wgaQ0lRLlRKWC5JUV9TQU1FX1NUT1JFLjUwMDABAAAAAK4EAAIAAAABMgBWp8kMg2PXCH8H6wyDY9cIHENJUS5CQkJZLklRX0VCSVRfTUFSR0lOLjEwMDABAAAA8ugEAAIAAAAGMy41MTQ2AQgAAAAFAAAAATEBAAAACjE5NTgxOTA4NzEDAAAAAzE2MAIAAAAENDA1MwQAAAABMAcAAAAJMTEvNy8yMDE5CAAAAAgzLzIvMjAxOQkAAAABMFanyQyDY9cIfwfrDINj1wgVQ0lRLkxCLklRX1BFX0VYQ0xfRldEAQAAAGhbBAACAAAAEDcuNDEyNDU0NTc1NDg3MjgBDQAAAAUAAAABOQEAAAAHMjYyNjgwMgIAAAAHOTk0MzkxMwMAAAAGMTAwMzA5BAAAAAEyBgAAAAEwBwAAAAMxNjAIAAAAATAJAAAAATEKAAAAATALAAAACzExNjczMzkxNDc4DAAAAAIxMg0AAAAJMTEvOC8yMDE5VqfJDINj1wh/B+sMg2PXCBZDSVEuVEdULklRX1BFX0VYQ0xfRldEAQAAAGapAgACAAAADzE3LjMy</t>
  </si>
  <si>
    <t>NzU2MzIyODEyMwENAAAABQAAAAE5AQAAAAcyNjU2NjQ2AgAAAAg0NTc4NzIwMQMAAAAGMTAwMzA5BAAAAAEyBgAAAAEwBwAAAAMxNjAIAAAAATAJAAAAATEKAAAAATALAAAACzExNjY1MjkzMjg5DAAAAAIxMg0AAAAJMTEvOC8yMDE5VqfJDINj1whJpegMg2PXCBRDSVEuTEIuSVFfU0FNRV9TVE9SRQEAAABoWwQAAwAAAAAAcZrQ4D1j1wiQCdjgPWPXCB1DSVEuR1BTLklRX0VCSVREQV9NQVJHSU4uMTAwMAEAAABZLwQAAgAAAAcxMS43NzMyAQgAAAAFAAAAATEBAAAACjE5NTAzMTU1OTADAAAAAzE2MAIAAAAENDA0NwQAAAABMAcAAAAJMTEvNy8yMDE5CAAAAAgyLzIvMjAxOQkAAAABMFanyQyDY9cIfwfrDINj1wgVQ0lRLlRHVC5JUV9TQU1FX1NUT1JFAQAAAGapAgADAAAAAABxmtDgPWPXCJAJ2OA9Y9cIEUNJUS4uSVFfTUFSS0VUQ0FQBQAAAAAAAAAIAAAAFChJbnZhbGlkIElkZW50aWZpZXIpWsrtbD1j1whs/PZsPWPXCB1DSVEuVEpYLklRX0VCSVREQV9NQVJHSU4uMTAwMAEAAAAArgQAAgAAAAcxMi45MjY1AQgAAAAFAAAAATEBAAAACjE5NTI1NjE0MTADAAAAAzE2MAIAAAAENDA0NwQAAAABMAcAAAAJMTEvNy8yMDE5CAAAAAgyLzIvMjAxOQkAAAABMFanyQyDY9cIfwfrDINj1wgcQ0lRLkpXTi5JUV9UT1RBTF9FUVVJVFkuMTAwMAEAAADXfQAAAgAAAAM4NzMBCAAAAAUAAAABMQEAAAAKMTk1MDE1</t>
  </si>
  <si>
    <t>MTYxOAMAAAADMTYwAgAAAAQxMjc1BAAAAAEwBwAAAAkxMS83LzIwMTkIAAAACDIvMi8yMDE5CQAAAAEwVqfJDINj1wh/B+sMg2PXCB1DSVEuR1BTLklRX0VQU18xWVJfQU5OX0dST1dUSAEAAABZLwQAAgAAAAY3LjY0MTMBCAAAAAUAAAABMQEAAAAKMTk4MTcwNjU1NwMAAAADMTYwAgAAAAQ0MjAwBAAAAAEwBwAAAAkxMS83LzIwMTkIAAAACDgvMy8yMDE5CQAAAAEwVqfJDINj1wh/B+sMg2PXCBpDSVEuQkJCWS5JUV9UT1RBTF9SRVYuMTAwMAEAAADy6AQAAgAAAAkxMjAyOC43OTcBCAAAAAUAAAABMQEAAAAKMTk1ODE5MDg3MQMAAAADMTYwAgAAAAIyOAQAAAABMAcAAAAJMTEvNy8yMDE5CAAAAAgzLzIvMjAxOQkAAAABMFanyQyDY9cISaXoDINj1wgWQ0lRLk0uSVFfRUJJVF9FU1QuNjAwMAEAAACL2gQAAgAAAAkxMzcyLjk5MjIBDgAAAAUAAAACMTEBAAAAATACAAAACDEwNzczOTE0AwAAAAYxMDAyMTUEAAAAATIGAAAAATAHAAAAAzE2MAgAAAABMAkAAAABMQoAAAABMAsAAAALMTE2NjE1MDI0NjUMAAAAAjEyDQAAAAkxMS84LzIwMTkQAAAACTExLzcvMjAxOVanyQyDY9cISaXoDINj1wgOQ0lRLlRHVC5JUV9URVYBAAAAZqkCAAIAAAAMNjg2MDkuNzEwNDEzAQYAAAAFAAAAATEBAAAACjE5ODE3MDU0NjEDAAAAAzE2MAIAAAAGMTAwMDYwBAAAAAEwBwAAAAkxMS82LzIwMTlWp8kMg2PXCH8H6wyDY9cI</t>
  </si>
  <si>
    <t>GkNJUS5KV04uSVFfVE9UQUxfREVCVC4xMDAwAQAAANd9AAACAAAABDI2ODUBCAAAAAUAAAABMQEAAAAKMTk1MDE1MTYxOAMAAAADMTYwAgAAAAQ0MTczBAAAAAEwBwAAAAkxMS83LzIwMTkIAAAACDIvMi8yMDE5CQAAAAEwVqfJDINj1wh/B+sMg2PXCB5DSVEuTS5JUV9FQklUREFfMVlSX0FOTl9HUk9XVEgBAAAAi9oEAAIAAAAILTE1LjE4ODgBCAAAAAUAAAABMQEAAAAKMTk4MTczODIxOQMAAAADMTYwAgAAAAQ0MTk2BAAAAAEwBwAAAAkxMS83LzIwMTkIAAAACDgvMy8yMDE5CQAAAAEwVqfJDINj1wh/B+sMg2PXCBtDSVEuQkJCWS5JUV9FQklUREFfRVNULjEwMDABAAAA8ugEAAIAAAAJNzUxLjY4Mzk2AQ4AAAAFAAAAATMBAAAAATACAAAACjEwMDAyMTMyNzcDAAAABjEwMDE4NwQAAAABMgYAAAABMAcAAAADMTYwCAAAAAEwCQAAAAExCgAAAAEwCwAAAAsxMTM4OTA5MTQxMQwAAAABMQ0AAAAJMTEvOC8yMDE5EAAAAAkyLzI4LzIwMTlzawsTPWPXCATOERM9Y9cIHENJUS5MQi5JUV9FQklUREFfTUFSR0lOLjEwMDABAAAAaFsEAAIAAAAHMTUuMzM1OAEIAAAABQAAAAExAQAAAAoxOTUwNzQ3NzcwAwAAAAMxNjACAAAABDQwNDcEAAAAATAHAAAACTExLzcvMjAxOQgAAAAIMi8yLzIwMTkJAAAAATBWp8kMg2PXCH8H6wyDY9cIGUNJUS5MQi5JUV9TQU1FX1NUT1JFLjUwMDABAAAAaFsEAAIAAAACLTEAVqfJ</t>
  </si>
  <si>
    <t>DINj1whJpegMg2PXCBRDSVEuS1NTLklRX1BSSUNFREFURQEAAAA77wAABQAAAAkxMS83LzIwMTkAVK8VfIlj1wh/GRp8iWPXCBtDSVEuVEdULklRX0VCSVRfTUFSR0lOLjEwMDABAAAAZqkCAAIAAAAGNS42MDkzAQgAAAAFAAAAATEBAAAACjE5NDk0OTg4NzMDAAAAAzE2MAIAAAAENDA1MwQAAAABMAcAAAAJMTEvNy8yMDE5CAAAAAgyLzIvMjAxOQkAAAABMFanyQyDY9cISaXoDINj1wgbQ0lRLkJCQlkuSVFfU0FNRV9TVE9SRS41MDAwAQAAAPLoBAACAAAABC02LjcAVqfJDINj1wh/B+sMg2PXCBpDSVEuVEpYLklRX1RPVEFMX0RFQlQuMTAwMAEAAAAArgQAAgAAAAgyNDc2Ljg3NAEIAAAABQAAAAExAQAAAAoxOTUyNTYxNDEwAwAAAAMxNjACAAAABDQxNzMEAAAAATAHAAAACTExLzcvMjAxOQgAAAAIMi8yLzIwMTkJAAAAATBWp8kMg2PXCEml6AyDY9cIFENJUS5ST1NULklRX1lFQVJISUdIAQAAAIaEAAACAAAABzExNC44MjUAVqfJDINj1wh/B+sMg2PXCCBDSVEuVEpYLklRX0VCSVREQV8xWVJfQU5OX0dST1dUSAEAAAAArgQAAgAAAAYyLjA1OTkBCAAAAAUAAAABMQEAAAAKMTk4MTYxNTYyNgMAAAADMTYwAgAAAAQ0MTk2BAAAAAEwBwAAAAkxMS83LzIwMTkIAAAACDgvMy8yMDE5CQAAAAEwVqfJDINj1wh/B+sMg2PXCCBDSVEuSldOLklRX0VCSVREQV8xWVJfQU5OX0dST1dUSAEAAADXfQAAAgAAAAgt</t>
  </si>
  <si>
    <t>MTEuMTUxOAEIAAAABQAAAAExAQAAAAoxOTgyOTI1MjQwAwAAAAMxNjACAAAABDQxOTYEAAAAATAHAAAACTExLzcvMjAxOQgAAAAIOC8zLzIwMTkJAAAAATBWp8kMg2PXCEml6AyDY9cIHUNJUS5USlguSVFfQ09NTU9OX0RJVl9DRi4xMDAwAQAAAACuBAACAAAACC05MjIuNTk2AQgAAAAFAAAAATEBAAAACjE5NTI1NjE0MTADAAAAAzE2MAIAAAAEMjA3NAQAAAABMAcAAAAJMTEvNy8yMDE5CAAAAAgyLzIvMjAxOQkAAAABMFanyQyDY9cISaXoDINj1wgYQ0lRLktTUy5JUV9ORVRfREVCVC41MDAwAQAAADvvAAACAAAABDU0MjQBCAAAAAUAAAABMQEAAAAKMTk4MzQwNjg5OAMAAAADMTYwAgAAAAQ0MzY0BAAAAAEwBwAAAAkxMS83LzIwMTkIAAAACDgvMy8yMDE5CQAAAAEwVqfJDINj1wh/B+sMg2PXCBhDSVEuTS5JUV9FQklUREFfRVNULjYwMDABAAAAi9oEAAIAAAAJMjEzMy4zMjYyAQ4AAAAFAAAAAjExAQAAAAEwAgAAAAgxMDc3MzkxNAMAAAAGMTAwMTg3BAAAAAEyBgAAAAEwBwAAAAMxNjAIAAAAATAJAAAAATEKAAAAATALAAAACzExNjYxNTAyNDYxDAAAAAIxMg0AAAAJMTEvOC8yMDE5EAAAAAkxMS83LzIwMTlWp8kMg2PXCH8H6wyDY9cIGUNJUS5CQkJZLklRX0VCSVRfRVNULjYwMDABAAAA8ugEAAIAAAAIMzU5LjA1ODQBDgAAAAUAAAACMTEBAAAAATACAAAABzgzMDQzNDEDAAAABjEwMDIxNQQAAAAB</t>
  </si>
  <si>
    <t>MgYAAAABMAcAAAADMTYwCAAAAAEwCQAAAAExCgAAAAEwCwAAAAsxMTYzMjQwODQ3OQwAAAACMTINAAAACTExLzgvMjAxORAAAAAJMTEvNy8yMDE5VqfJDINj1wh/B+sMg2PXCBJDSVEuLklRX0NMT1NFUFJJQ0UFAAAAAAAAAAgAAAAUKEludmFsaWQgSWRlbnRpZmllcilayu1sPWPXCGz89mw9Y9cIHUNJUS5ST1NULklRX1RPVEFMX0VRVUlUWS4xMDAwAQAAAIaEAAACAAAACDMzMDUuNzQ2AQgAAAAFAAAAATEBAAAACjE5NTIzMjA2MjADAAAAAzE2MAIAAAAEMTI3NQQAAAABMAcAAAAJMTEvNy8yMDE5CAAAAAgyLzIvMjAxOQkAAAABMFanyQyDY9cIfwfrDINj1wgWQ0lRLi5JUV9UT1RBTF9SRVYuMTAwMAUAAAAAAAAACAAAABQoSW52YWxpZCBJZGVudGlmaWVyKb06MR8/Y9cIIcc4Hz9j1wgUQ0lRLk0uSVFfUEVfRVhDTF9GV0QBAAAAi9oEAAIAAAAQNS44NTE1MzE1ODQzNDcwNgENAAAABQAAAAE5AQAAAAgzNDgyNzA4OAIAAAAIMTA3NzM5MTQDAAAABjEwMDMwOQQAAAABMgYAAAABMAcAAAADMTYwCAAAAAEwCQAAAAExCgAAAAEwCwAAAAsxMTY1OTMwMDg2NwwAAAACMTINAAAACTExLzgvMjAxOVanyQyDY9cIfwfrDINj1wgaQ0lRLkpXTi5JUV9TQU1FX1NUT1JFLjUwMDABAAAA130AAAMAAAAAAFanyQyDY9cISaXoDINj1wgTQ0lRLkpXTi5JUV9ZRUFSSElHSAEAAADXfQAAAgAAAAQ2Ny4yAFanyQyDY9cI</t>
  </si>
  <si>
    <t>fwfrDINj1wgSQ0lRLkxCLklRX1lFQVJISUdIAQAAAGhbBAACAAAAAjM4AFanyQyDY9cIfwfrDINj1wgaQ0lRLlRHVC5JUV9TQU1FX1NUT1JFLjUwMDABAAAAZqkCAAIAAAADMy40AFanyQyDY9cIfwfrDINj1wgbQ0lRLk0uSVFfRVBTXzFZUl9BTk5fR1JPV1RIAQAAAIvaBAACAAAACC0zOS41MjQxAQgAAAAFAAAAATEBAAAACjE5ODE3MzgyMTkDAAAAAzE2MAIAAAAENDIwMAQAAAABMAcAAAAJMTEvNy8yMDE5CAAAAAg4LzMvMjAxOQkAAAABMFanyQyDY9cIfwfrDINj1wgZQ0lRLkdQUy5JUV9UT1RBTF9SRVYuMTAwMAEAAABZLwQAAgAAAAUxNjU4MAEIAAAABQAAAAExAQAAAAoxOTUwMzE1NTkwAwAAAAMxNjACAAAAAjI4BAAAAAEwBwAAAAkxMS83LzIwMTkIAAAACDIvMi8yMDE5CQAAAAEwVqfJDINj1whJpegMg2PXCA1DSVEuTEIuSVFfVEVWAQAAAGhbBAACAAAADDEzMzA2LjIyOTMyNwEGAAAABQAAAAExAQAAAAoxOTgzNDA2ODk1AwAAAAMxNjACAAAABjEwMDA2MAQAAAABMAcAAAAJMTEvNi8yMDE5VqfJDINj1wh/B+sMg2PXCBpDSVEuR1BTLklRX1NBTUVfU1RPUkUuNTAwMAEAAABZLwQAAgAAAAItNABWp8kMg2PXCH8H6wyDY9cIDkNJUS5LU1MuSVFfVEVWAQAAADvvAAACAAAADDE0MDc4LjkwMzE3MQEGAAAABQAAAAExAQAAAAoxOTgzNDA2ODk4AwAAAAMxNjACAAAABjEwMDA2MAQAAAABMAcAAAAJ</t>
  </si>
  <si>
    <t>MTEvNi8yMDE5VqfJDINj1wh/B+sMg2PXCBZDSVEuQkJCWS5JUV9DTE9TRVBSSUNFAQAAAPLoBAACAAAABTE0LjM4AFanyQyDY9cISaXoDINj1wgUQ0lRLlRKWC5JUV9NQVJLRVRDQVABAAAAAK4EAAIAAAAKNzExMjEuNTA4OAEGAAAABQAAAAExAQAAAAoxOTgxNjE1MDg2AwAAAAMxNjACAAAABjEwMDA1NAQAAAABMAcAAAAJMTEvNi8yMDE5VqfJDINj1wh/B+sMg2PXCBhDSVEuVEpYLklRX0VCSVRfRVNULjYwMDABAAAAAK4EAAIAAAAJNDQzMS40MDA5AQ4AAAAFAAAAAjExAQAAAAEwAgAAAAk0NzY3OTIxMjQDAAAABjEwMDIxNQQAAAABMgYAAAABMAcAAAADMTYwCAAAAAEwCQAAAAExCgAAAAEwCwAAAAsxMTY2Njc2NDUyMAwAAAACMTINAAAACTExLzgvMjAxORAAAAAJMTEvNy8yMDE5VqfJDINj1wh/B+sMg2PXCBFDSVEuTS5JUV9ZRUFSSElHSAEAAACL2gQAAgAAAAUzOC4zNQBWp8kMg2PXCH8H6wyDY9cICUNJUS5CQkJZLgUAAAAAAAAACAAAABYoSW52YWxpZCBGb3JtdWxhIE5hbWUpU5SFGTxj1wguRYwZPGPXCB5DSVEuQkJCWS5JUV9FUFNfMVlSX0FOTl9HUk9XVEgBAAAA8ugEAAMAAAACTk0BCAAAAAUAAAABMQEAAAAKMTk4NzI2MzY0MQMAAAADMTYwAgAAAAQ0MjAwBAAAAAEwBwAAAAkxMS83LzIwMTkIAAAACTgvMzEvMjAxOQkAAAABMFanyQyDY9cIfwfrDINj1wgfQ0lRLkxCLklRX0VCSVREQV8x</t>
  </si>
  <si>
    <t>WVJfQU5OX0dST1dUSAEAAABoWwQAAgAAAActOS42OTgxAQgAAAAFAAAAATEBAAAACjE5ODM0MDcyNDUDAAAAAzE2MAIAAAAENDE5NgQAAAABMAcAAAAJMTEvNy8yMDE5CAAAAAg4LzMvMjAxOQkAAAABMFanyQyDY9cIfwfrDINj1wgVQ0lRLkpXTi5JUV9DTE9TRVBSSUNFAQAAANd9AAACAAAABTM2LjczAFanyQyDY9cISaXoDINj1wgZQ0lRLktTUy5JUV9UT1RBTF9SRVYuMTAwMAEAAAA77wAAAgAAAAUyMDIyOQEIAAAABQAAAAExAQAAAAoxOTUwNzUzMjgwAwAAAAMxNjACAAAAAjI4BAAAAAEwBwAAAAkxMS83LzIwMTkIAAAACDIvMi8yMDE5CQAAAAEwvToxHz9j1wghxzgfP2PXCBlDSVEuUk9TUy5JUV9FQklUX0VTVC42MDAwAQAAAIaEAAACAAAACTIyMjEuNjg4MQEOAAAABQAAAAIxMQEAAAABMAIAAAAJNDc5MTAyMzg5AwAAAAYxMDAyMTUEAAAAATIGAAAAATAHAAAAAzE2MAgAAAABMAkAAAABMQoAAAABMAsAAAALMTE2NjA4NDgyNzYMAAAAAjEyDQAAAAkxMS84LzIwMTkQAAAACTExLzcvMjAxOevRAHY9Y9cIhYUIdj1j1wgWQ0lRLlRKWC5JUV9QRV9FWENMX0ZXRAEAAAAArgQAAgAAAA8yMS43MjYxMjQ1MjkxMzgBDQAAAAUAAAABOQEAAAAHMjY1NjE5MQIAAAAJNDc2NzkyMTI0AwAAAAYxMDAzMDkEAAAAATIGAAAAATAHAAAAAzE2MAgAAAABMAkAAAABMQoAAAABMAsAAAALMTE2NjIzNTkzODEMAAAA</t>
  </si>
  <si>
    <t>AjEyDQAAAAkxMS84LzIwMTlWp8kMg2PXCH8H6wyDY9cIH0NJUS5CQkJZLklRX0JBU0lDX0VQU19JTkNMLjYwMDABAAAA8ugEAAMAAAAAAOJqg8E8Y9cI1Jc/yjxj1wgVQ0lRLkpXTi5JUV9TQU1FX1NUT1JFAQAAANd9AAADAAAAAABxmtDgPWPXCFsewAs+Y9cIGkNJUS5UR1QuSVFfRUJJVERBX0VTVC42MDAwAQAAAGapAgACAAAACDY5NzguNzQyAQ4AAAAFAAAAAjExAQAAAAEwAgAAAAg0NTc4NzIwMQMAAAAGMTAwMTg3BAAAAAEyBgAAAAEwBwAAAAMxNjAIAAAAATAJAAAAATEKAAAAATALAAAACzExNjY1MjkzMjY5DAAAAAIxMg0AAAAJMTEvOC8yMDE5EAAAAAkxMS83LzIwMTlWp8kMg2PXCEml6AyDY9cIGkNJUS5USlguSVFfRUJJVERBX0VTVC42MDAwAQAAAACuBAACAAAACTUzNDEuMzcxNQEOAAAABQAAAAIxMQEAAAABMAIAAAAJNDc2NzkyMTI0AwAAAAYxMDAxODcEAAAAATIGAAAAATAHAAAAAzE2MAgAAAABMAkAAAABMQoAAAABMAsAAAALMTE2NjA5MDc3NjQMAAAAAjEyDQAAAAkxMS84LzIwMTkQAAAACTExLzcvMjAxOVanyQyDY9cIfwfrDINj1wgdQ0lRLkpXTi5JUV9FUFNfMVlSX0FOTl9HUk9XVEgBAAAA130AAAIAAAAGMC4wNjU5AQgAAAAFAAAAATEBAAAACjE5ODI5MjUyNDADAAAAAzE2MAIAAAAENDIwMAQAAAABMAcAAAAJMTEvNy8yMDE5CAAAAAg4LzMvMjAxOQkAAAABMFanyQyDY9cIfwfr</t>
  </si>
  <si>
    <t>DINj1wgZQ0lRLlJPU1QuSVFfRUJJVF9FU1QuNjAwMAEAAACGhAAAAgAAAAkyMjIxLjY4ODEBDgAAAAUAAAACMTEBAAAAATACAAAACTQ3OTEwMjM4OQMAAAAGMTAwMjE1BAAAAAEyBgAAAAEwBwAAAAMxNjAIAAAAATAJAAAAATEKAAAAATALAAAACzExNjYwODQ4Mjc2DAAAAAIxMg0AAAAJMTEvOC8yMDE5EAAAAAkxMS83LzIwMTlWp8kMg2PXCEml6AyDY9cIFUNJUS5LU1MuSVFfQ0FQRVguMTAwMAEAAAA77wAAAgAAAAQtNTc4AQgAAAAFAAAAATEBAAAACjE5NTA3NTMyODADAAAAAzE2MAIAAAAEMjAyMQQAAAABMAcAAAAJMTEvNy8yMDE5CAAAAAgyLzIvMjAxOQkAAAABML06MR8/Y9cIIcc4Hz9j1wgWQ0lRLlJPU1QuSVFfU0FNRV9TVE9SRQEAAACGhAAAAwAAAAAAcZrQ4D1j1wiQCdjgPWPXCB1DSVEuS1NTLklRX0VQU18xWVJfQU5OX0dST1dUSAEAAAA77wAAAgAAAAgtMjAuODk5OQEIAAAABQAAAAExAQAAAAoxOTgzNDA3MjQ0AwAAAAMxNjACAAAABDQyMDAEAAAAATAHAAAACTExLzcvMjAxOQgAAAAIOC8zLzIwMTkJAAAAATBWp8kMg2PXCH8H6wyDY9cIFkNJUS5HUFMuSVFfUEVfRVhDTF9GV0QBAAAAWS8EAAIAAAAPOC41MDg0OTQwOTczMjIyAQ0AAAAFAAAAATkBAAAABzI2MTQzNTgCAAAABzgyNTEwMTMDAAAABjEwMDMwOQQAAAABMgYAAAABMAcAAAADMTYwCAAAAAEwCQAAAAExCgAAAAEwCwAAAAsx</t>
  </si>
  <si>
    <t>MTY3MzM5NDE0MgwAAAACMTINAAAACTExLzgvMjAxOVanyQyDY9cIfwfrDINj1wgbQ0lRLkpXTi5JUV9FQklUX01BUkdJTi4xMDAwAQAAANd9AAACAAAABjUuNzMxMwEIAAAABQAAAAExAQAAAAoxOTUwMTUxNjE4AwAAAAMxNjACAAAABDQwNTMEAAAAATAHAAAACTExLzcvMjAxOQgAAAAIMi8yLzIwMTkJAAAAATBWp8kMg2PXCH8H6wyDY9cIEkNJUS5LU1MuSVFfTkkuMTAwMAEAAAA77wAAAgAAAAM4MDEBCAAAAAUAAAABMQEAAAAKMTk1MDc1MzI4MAMAAAADMTYwAgAAAAIxNQQAAAABMAcAAAAJMTEvNy8yMDE5CAAAAAgyLzIvMjAxOQkAAAABMFanyQyDY9cISaXoDINj1wgTQ0lRLi5JUV9QRV9FWENMX0ZXRAUAAAAAAAAACAAAABQoSW52YWxpZCBJZGVudGlmaWVyKVrK7Ww9Y9cIedX2bD1j1wgUQ0lRLkJCQlkuSVFfWUVBUkhJR0gBAAAA8ugEAAIAAAAFMTkuNTcAVqfJDINj1wh/B+sMg2PXCBVDSVEuVEdULklRX0NMT1NFUFJJQ0UBAAAAZqkCAAIAAAAGMTEwLjUxAFanyQyDY9cISaXoDINj1wg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</si>
</sst>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_);\(0\);&quot;- -&quot;"/>
    <numFmt numFmtId="168" formatCode="0%_);\(0%\);0%_);@_)"/>
    <numFmt numFmtId="169" formatCode="0.0%_);\(0.0%\);0.0%_);@_)"/>
    <numFmt numFmtId="170" formatCode="0.00%_);\(0.00%\);0.00%_);@_)"/>
    <numFmt numFmtId="171" formatCode="&quot;$&quot;#,##0_);\(&quot;$&quot;#,##0\);\ \-\ \-\ "/>
    <numFmt numFmtId="172" formatCode="#,##0_);\(#,##0\);\ \-\ \-\ "/>
    <numFmt numFmtId="173" formatCode="#,##0.0%_);\(#,##0.0%\);\ \-\ \-\ "/>
    <numFmt numFmtId="174" formatCode="#,##0.0\x_);\(#,##0.0\x\);\ \-\ \-\ "/>
    <numFmt numFmtId="175" formatCode="#,##0.0_);\(#,##0.0\);\ \-\ \-\ "/>
    <numFmt numFmtId="176" formatCode="#,##0.00%_);\(#,##0.00%\);\ \-\ \-\ "/>
    <numFmt numFmtId="177" formatCode="&quot;$&quot;#,##0.00"/>
    <numFmt numFmtId="178" formatCode="[$$-409]#,##0.0_);\([$$-409]#,##0.0\);[$$-409]#,##0.0_);@_)"/>
    <numFmt numFmtId="179" formatCode="#,##0.00_);\(#,##0.00\);#,##0.00_);@_)"/>
    <numFmt numFmtId="180" formatCode="0.00000000000000000%"/>
    <numFmt numFmtId="181" formatCode="0_);\(0\)"/>
    <numFmt numFmtId="182" formatCode="0.0\x"/>
    <numFmt numFmtId="183" formatCode="&quot;&quot;"/>
    <numFmt numFmtId="184" formatCode="[$$-409]#,##0.00_);\([$$-409]#,##0.00\);[$$-409]#,##0.00_);@_)"/>
    <numFmt numFmtId="185" formatCode="[$$-409]#,##0_);\([$$-409]#,##0\);[$$-409]#,##0_);@_)"/>
    <numFmt numFmtId="186" formatCode="[$$-409]#,##0.00_);\([$$-409]#,##0.00\)"/>
    <numFmt numFmtId="187" formatCode="&quot;$&quot;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FF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FF"/>
      <name val="Arial"/>
      <family val="2"/>
    </font>
    <font>
      <sz val="11"/>
      <color rgb="FF008000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sz val="11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A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3" borderId="2">
      <alignment horizontal="right"/>
    </xf>
    <xf numFmtId="166" fontId="5" fillId="4" borderId="3">
      <alignment horizontal="right"/>
    </xf>
    <xf numFmtId="166" fontId="7" fillId="4" borderId="3">
      <alignment horizontal="right"/>
    </xf>
    <xf numFmtId="4" fontId="7" fillId="4" borderId="3">
      <alignment horizontal="right"/>
    </xf>
    <xf numFmtId="0" fontId="18" fillId="3" borderId="0"/>
  </cellStyleXfs>
  <cellXfs count="220">
    <xf numFmtId="0" fontId="0" fillId="0" borderId="0" xfId="0"/>
    <xf numFmtId="167" fontId="6" fillId="4" borderId="0" xfId="5" applyNumberFormat="1" applyFont="1" applyBorder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73" fontId="9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173" fontId="12" fillId="4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171" fontId="9" fillId="4" borderId="0" xfId="0" applyNumberFormat="1" applyFont="1" applyFill="1" applyAlignment="1">
      <alignment vertical="center"/>
    </xf>
    <xf numFmtId="167" fontId="16" fillId="4" borderId="0" xfId="5" applyNumberFormat="1" applyFont="1" applyBorder="1">
      <alignment horizontal="right"/>
    </xf>
    <xf numFmtId="0" fontId="17" fillId="0" borderId="0" xfId="0" applyFont="1"/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17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5" fontId="12" fillId="0" borderId="4" xfId="0" applyNumberFormat="1" applyFont="1" applyBorder="1" applyAlignment="1">
      <alignment horizontal="center" vertical="center"/>
    </xf>
    <xf numFmtId="174" fontId="14" fillId="0" borderId="0" xfId="0" applyNumberFormat="1" applyFont="1" applyAlignment="1">
      <alignment horizontal="center" vertical="center"/>
    </xf>
    <xf numFmtId="173" fontId="9" fillId="4" borderId="0" xfId="0" applyNumberFormat="1" applyFont="1" applyFill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71" fontId="9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5" fontId="8" fillId="0" borderId="1" xfId="0" applyNumberFormat="1" applyFont="1" applyBorder="1" applyAlignment="1">
      <alignment horizontal="center" vertical="center"/>
    </xf>
    <xf numFmtId="171" fontId="8" fillId="0" borderId="1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172" fontId="14" fillId="0" borderId="0" xfId="0" applyNumberFormat="1" applyFont="1" applyAlignment="1">
      <alignment horizontal="center" vertical="center"/>
    </xf>
    <xf numFmtId="174" fontId="12" fillId="0" borderId="4" xfId="0" applyNumberFormat="1" applyFont="1" applyBorder="1" applyAlignment="1">
      <alignment horizontal="center" vertical="center"/>
    </xf>
    <xf numFmtId="173" fontId="14" fillId="0" borderId="0" xfId="0" applyNumberFormat="1" applyFont="1" applyAlignment="1">
      <alignment horizontal="center" vertical="center"/>
    </xf>
    <xf numFmtId="0" fontId="11" fillId="0" borderId="0" xfId="0" applyFont="1"/>
    <xf numFmtId="170" fontId="11" fillId="0" borderId="0" xfId="0" applyNumberFormat="1" applyFont="1"/>
    <xf numFmtId="168" fontId="11" fillId="0" borderId="0" xfId="0" applyNumberFormat="1" applyFont="1"/>
    <xf numFmtId="169" fontId="11" fillId="0" borderId="0" xfId="0" applyNumberFormat="1" applyFont="1"/>
    <xf numFmtId="0" fontId="19" fillId="6" borderId="0" xfId="8" applyFont="1" applyFill="1"/>
    <xf numFmtId="0" fontId="19" fillId="6" borderId="4" xfId="8" applyFont="1" applyFill="1" applyBorder="1"/>
    <xf numFmtId="0" fontId="19" fillId="6" borderId="0" xfId="8" applyFont="1" applyFill="1" applyBorder="1"/>
    <xf numFmtId="184" fontId="11" fillId="0" borderId="0" xfId="0" applyNumberFormat="1" applyFont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85" fontId="11" fillId="0" borderId="0" xfId="1" applyNumberFormat="1" applyFont="1" applyBorder="1" applyAlignment="1">
      <alignment horizontal="center"/>
    </xf>
    <xf numFmtId="185" fontId="11" fillId="0" borderId="0" xfId="1" applyNumberFormat="1" applyFont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182" fontId="11" fillId="0" borderId="0" xfId="0" applyNumberFormat="1" applyFont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164" fontId="11" fillId="0" borderId="0" xfId="1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/>
    <xf numFmtId="0" fontId="11" fillId="0" borderId="0" xfId="0" applyFont="1" applyBorder="1"/>
    <xf numFmtId="168" fontId="20" fillId="0" borderId="0" xfId="0" applyNumberFormat="1" applyFont="1" applyBorder="1" applyAlignment="1">
      <alignment horizontal="center"/>
    </xf>
    <xf numFmtId="168" fontId="20" fillId="0" borderId="0" xfId="0" applyNumberFormat="1" applyFont="1" applyAlignment="1">
      <alignment horizontal="center"/>
    </xf>
    <xf numFmtId="0" fontId="11" fillId="0" borderId="5" xfId="0" applyFont="1" applyBorder="1"/>
    <xf numFmtId="164" fontId="11" fillId="0" borderId="1" xfId="0" applyNumberFormat="1" applyFont="1" applyBorder="1" applyAlignment="1">
      <alignment horizontal="center"/>
    </xf>
    <xf numFmtId="182" fontId="11" fillId="0" borderId="1" xfId="0" applyNumberFormat="1" applyFont="1" applyBorder="1" applyAlignment="1">
      <alignment horizontal="center"/>
    </xf>
    <xf numFmtId="182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182" fontId="11" fillId="0" borderId="8" xfId="0" applyNumberFormat="1" applyFont="1" applyBorder="1" applyAlignment="1">
      <alignment horizontal="center"/>
    </xf>
    <xf numFmtId="0" fontId="11" fillId="0" borderId="9" xfId="0" applyFont="1" applyBorder="1"/>
    <xf numFmtId="0" fontId="11" fillId="0" borderId="4" xfId="0" applyFont="1" applyBorder="1" applyAlignment="1">
      <alignment horizontal="center"/>
    </xf>
    <xf numFmtId="182" fontId="11" fillId="0" borderId="4" xfId="0" applyNumberFormat="1" applyFont="1" applyBorder="1" applyAlignment="1">
      <alignment horizontal="center"/>
    </xf>
    <xf numFmtId="182" fontId="11" fillId="0" borderId="10" xfId="0" applyNumberFormat="1" applyFont="1" applyBorder="1" applyAlignment="1">
      <alignment horizontal="center"/>
    </xf>
    <xf numFmtId="179" fontId="11" fillId="0" borderId="0" xfId="0" applyNumberFormat="1" applyFont="1"/>
    <xf numFmtId="171" fontId="11" fillId="0" borderId="0" xfId="0" applyNumberFormat="1" applyFont="1" applyAlignment="1">
      <alignment horizontal="center"/>
    </xf>
    <xf numFmtId="7" fontId="11" fillId="0" borderId="0" xfId="0" applyNumberFormat="1" applyFont="1"/>
    <xf numFmtId="7" fontId="11" fillId="0" borderId="0" xfId="0" applyNumberFormat="1" applyFont="1" applyAlignment="1">
      <alignment horizontal="center"/>
    </xf>
    <xf numFmtId="177" fontId="11" fillId="0" borderId="0" xfId="2" applyNumberFormat="1" applyFont="1" applyAlignment="1">
      <alignment horizontal="center"/>
    </xf>
    <xf numFmtId="170" fontId="22" fillId="0" borderId="0" xfId="0" applyNumberFormat="1" applyFont="1" applyAlignment="1">
      <alignment horizontal="center"/>
    </xf>
    <xf numFmtId="0" fontId="23" fillId="2" borderId="0" xfId="0" applyFont="1" applyFill="1"/>
    <xf numFmtId="0" fontId="23" fillId="6" borderId="0" xfId="0" applyFont="1" applyFill="1"/>
    <xf numFmtId="0" fontId="23" fillId="2" borderId="0" xfId="0" applyFont="1" applyFill="1" applyAlignment="1">
      <alignment horizontal="right"/>
    </xf>
    <xf numFmtId="0" fontId="23" fillId="5" borderId="0" xfId="0" applyFont="1" applyFill="1" applyAlignment="1">
      <alignment horizontal="right"/>
    </xf>
    <xf numFmtId="1" fontId="11" fillId="0" borderId="0" xfId="0" applyNumberFormat="1" applyFont="1"/>
    <xf numFmtId="164" fontId="24" fillId="6" borderId="0" xfId="1" applyNumberFormat="1" applyFont="1" applyFill="1"/>
    <xf numFmtId="164" fontId="20" fillId="0" borderId="0" xfId="1" applyNumberFormat="1" applyFont="1"/>
    <xf numFmtId="1" fontId="20" fillId="0" borderId="0" xfId="0" applyNumberFormat="1" applyFont="1"/>
    <xf numFmtId="164" fontId="23" fillId="6" borderId="0" xfId="1" applyNumberFormat="1" applyFont="1" applyFill="1"/>
    <xf numFmtId="165" fontId="25" fillId="0" borderId="0" xfId="3" applyNumberFormat="1" applyFont="1" applyAlignment="1">
      <alignment horizontal="left" indent="1"/>
    </xf>
    <xf numFmtId="165" fontId="25" fillId="0" borderId="0" xfId="3" applyNumberFormat="1" applyFont="1"/>
    <xf numFmtId="165" fontId="26" fillId="6" borderId="0" xfId="3" applyNumberFormat="1" applyFont="1" applyFill="1"/>
    <xf numFmtId="165" fontId="25" fillId="0" borderId="0" xfId="3" applyNumberFormat="1" applyFont="1" applyFill="1"/>
    <xf numFmtId="0" fontId="11" fillId="0" borderId="0" xfId="0" applyFont="1" applyAlignment="1">
      <alignment horizontal="left" indent="1"/>
    </xf>
    <xf numFmtId="164" fontId="11" fillId="0" borderId="0" xfId="1" applyNumberFormat="1" applyFont="1"/>
    <xf numFmtId="0" fontId="20" fillId="0" borderId="0" xfId="0" applyFont="1" applyAlignment="1">
      <alignment horizontal="left"/>
    </xf>
    <xf numFmtId="165" fontId="11" fillId="0" borderId="0" xfId="3" applyNumberFormat="1" applyFont="1" applyAlignment="1">
      <alignment horizontal="left"/>
    </xf>
    <xf numFmtId="164" fontId="24" fillId="6" borderId="0" xfId="1" applyNumberFormat="1" applyFont="1" applyFill="1" applyAlignment="1">
      <alignment horizontal="center"/>
    </xf>
    <xf numFmtId="164" fontId="20" fillId="0" borderId="0" xfId="1" applyNumberFormat="1" applyFont="1" applyAlignment="1">
      <alignment horizontal="center"/>
    </xf>
    <xf numFmtId="165" fontId="26" fillId="6" borderId="0" xfId="3" applyNumberFormat="1" applyFont="1" applyFill="1" applyAlignment="1">
      <alignment horizontal="center"/>
    </xf>
    <xf numFmtId="165" fontId="25" fillId="0" borderId="0" xfId="3" applyNumberFormat="1" applyFont="1" applyAlignment="1">
      <alignment horizontal="center"/>
    </xf>
    <xf numFmtId="0" fontId="11" fillId="0" borderId="0" xfId="0" applyFont="1" applyAlignment="1">
      <alignment horizontal="left"/>
    </xf>
    <xf numFmtId="44" fontId="20" fillId="0" borderId="0" xfId="2" applyFont="1"/>
    <xf numFmtId="44" fontId="24" fillId="6" borderId="0" xfId="2" applyFont="1" applyFill="1"/>
    <xf numFmtId="177" fontId="20" fillId="0" borderId="0" xfId="2" applyNumberFormat="1" applyFont="1"/>
    <xf numFmtId="167" fontId="21" fillId="0" borderId="0" xfId="0" applyNumberFormat="1" applyFont="1"/>
    <xf numFmtId="180" fontId="11" fillId="0" borderId="0" xfId="0" applyNumberFormat="1" applyFont="1"/>
    <xf numFmtId="0" fontId="23" fillId="5" borderId="0" xfId="0" applyFont="1" applyFill="1"/>
    <xf numFmtId="0" fontId="23" fillId="0" borderId="0" xfId="0" applyFont="1"/>
    <xf numFmtId="164" fontId="27" fillId="0" borderId="0" xfId="1" applyNumberFormat="1" applyFont="1"/>
    <xf numFmtId="164" fontId="11" fillId="0" borderId="0" xfId="0" applyNumberFormat="1" applyFont="1"/>
    <xf numFmtId="165" fontId="23" fillId="6" borderId="0" xfId="3" applyNumberFormat="1" applyFont="1" applyFill="1"/>
    <xf numFmtId="168" fontId="21" fillId="0" borderId="0" xfId="0" applyNumberFormat="1" applyFont="1"/>
    <xf numFmtId="181" fontId="11" fillId="0" borderId="0" xfId="0" applyNumberFormat="1" applyFont="1"/>
    <xf numFmtId="0" fontId="25" fillId="0" borderId="0" xfId="0" applyFont="1"/>
    <xf numFmtId="169" fontId="24" fillId="6" borderId="0" xfId="1" applyNumberFormat="1" applyFont="1" applyFill="1"/>
    <xf numFmtId="169" fontId="20" fillId="0" borderId="0" xfId="1" applyNumberFormat="1" applyFont="1"/>
    <xf numFmtId="169" fontId="25" fillId="0" borderId="0" xfId="1" applyNumberFormat="1" applyFont="1"/>
    <xf numFmtId="0" fontId="20" fillId="0" borderId="0" xfId="0" applyFont="1" applyAlignment="1">
      <alignment horizontal="left" indent="1"/>
    </xf>
    <xf numFmtId="164" fontId="24" fillId="6" borderId="0" xfId="0" applyNumberFormat="1" applyFont="1" applyFill="1"/>
    <xf numFmtId="0" fontId="24" fillId="6" borderId="0" xfId="0" applyFont="1" applyFill="1"/>
    <xf numFmtId="0" fontId="20" fillId="0" borderId="4" xfId="0" applyFont="1" applyBorder="1"/>
    <xf numFmtId="0" fontId="20" fillId="0" borderId="0" xfId="0" applyFont="1" applyBorder="1"/>
    <xf numFmtId="0" fontId="23" fillId="7" borderId="0" xfId="0" applyFont="1" applyFill="1"/>
    <xf numFmtId="170" fontId="22" fillId="0" borderId="0" xfId="0" applyNumberFormat="1" applyFont="1"/>
    <xf numFmtId="9" fontId="11" fillId="0" borderId="0" xfId="0" applyNumberFormat="1" applyFont="1"/>
    <xf numFmtId="186" fontId="0" fillId="0" borderId="0" xfId="0" applyNumberFormat="1" applyAlignment="1">
      <alignment horizontal="center"/>
    </xf>
    <xf numFmtId="171" fontId="11" fillId="0" borderId="0" xfId="0" applyNumberFormat="1" applyFont="1"/>
    <xf numFmtId="0" fontId="11" fillId="0" borderId="11" xfId="0" applyFont="1" applyBorder="1"/>
    <xf numFmtId="184" fontId="11" fillId="0" borderId="11" xfId="0" applyNumberFormat="1" applyFont="1" applyBorder="1" applyAlignment="1">
      <alignment horizontal="center"/>
    </xf>
    <xf numFmtId="168" fontId="11" fillId="0" borderId="11" xfId="0" applyNumberFormat="1" applyFont="1" applyBorder="1" applyAlignment="1">
      <alignment horizontal="center"/>
    </xf>
    <xf numFmtId="185" fontId="11" fillId="0" borderId="11" xfId="1" applyNumberFormat="1" applyFont="1" applyBorder="1" applyAlignment="1">
      <alignment horizontal="center"/>
    </xf>
    <xf numFmtId="182" fontId="11" fillId="0" borderId="11" xfId="0" applyNumberFormat="1" applyFont="1" applyBorder="1" applyAlignment="1">
      <alignment horizontal="center"/>
    </xf>
    <xf numFmtId="0" fontId="11" fillId="0" borderId="12" xfId="0" applyFont="1" applyBorder="1"/>
    <xf numFmtId="178" fontId="11" fillId="0" borderId="1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8" fillId="0" borderId="0" xfId="0" applyFont="1"/>
    <xf numFmtId="1" fontId="29" fillId="0" borderId="0" xfId="0" applyNumberFormat="1" applyFont="1"/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165" fontId="31" fillId="0" borderId="0" xfId="3" applyNumberFormat="1" applyFont="1"/>
    <xf numFmtId="1" fontId="28" fillId="0" borderId="0" xfId="0" applyNumberFormat="1" applyFont="1"/>
    <xf numFmtId="187" fontId="30" fillId="0" borderId="1" xfId="0" applyNumberFormat="1" applyFont="1" applyBorder="1"/>
    <xf numFmtId="187" fontId="30" fillId="0" borderId="0" xfId="0" applyNumberFormat="1" applyFont="1"/>
    <xf numFmtId="169" fontId="31" fillId="0" borderId="0" xfId="0" applyNumberFormat="1" applyFont="1"/>
    <xf numFmtId="181" fontId="28" fillId="0" borderId="0" xfId="0" applyNumberFormat="1" applyFont="1" applyAlignment="1"/>
    <xf numFmtId="0" fontId="19" fillId="6" borderId="4" xfId="8" applyFont="1" applyFill="1" applyBorder="1" applyAlignment="1">
      <alignment horizontal="center"/>
    </xf>
    <xf numFmtId="0" fontId="19" fillId="6" borderId="0" xfId="8" applyFont="1" applyFill="1" applyAlignment="1">
      <alignment horizontal="center"/>
    </xf>
    <xf numFmtId="168" fontId="11" fillId="0" borderId="11" xfId="0" applyNumberFormat="1" applyFont="1" applyBorder="1" applyAlignment="1"/>
    <xf numFmtId="168" fontId="11" fillId="0" borderId="11" xfId="1" applyNumberFormat="1" applyFont="1" applyBorder="1" applyAlignment="1"/>
    <xf numFmtId="168" fontId="11" fillId="0" borderId="13" xfId="0" applyNumberFormat="1" applyFont="1" applyBorder="1" applyAlignment="1"/>
    <xf numFmtId="168" fontId="11" fillId="0" borderId="1" xfId="0" applyNumberFormat="1" applyFont="1" applyBorder="1" applyAlignment="1">
      <alignment horizontal="right"/>
    </xf>
    <xf numFmtId="168" fontId="11" fillId="0" borderId="6" xfId="0" applyNumberFormat="1" applyFont="1" applyBorder="1" applyAlignment="1">
      <alignment horizontal="right"/>
    </xf>
    <xf numFmtId="168" fontId="11" fillId="0" borderId="0" xfId="0" applyNumberFormat="1" applyFont="1" applyBorder="1" applyAlignment="1">
      <alignment horizontal="right"/>
    </xf>
    <xf numFmtId="168" fontId="11" fillId="0" borderId="8" xfId="0" applyNumberFormat="1" applyFont="1" applyBorder="1" applyAlignment="1">
      <alignment horizontal="right"/>
    </xf>
    <xf numFmtId="168" fontId="11" fillId="0" borderId="4" xfId="0" applyNumberFormat="1" applyFont="1" applyBorder="1" applyAlignment="1">
      <alignment horizontal="right"/>
    </xf>
    <xf numFmtId="168" fontId="11" fillId="0" borderId="10" xfId="0" applyNumberFormat="1" applyFont="1" applyBorder="1" applyAlignment="1">
      <alignment horizontal="right"/>
    </xf>
    <xf numFmtId="0" fontId="0" fillId="0" borderId="0" xfId="0" applyAlignment="1"/>
    <xf numFmtId="9" fontId="11" fillId="0" borderId="0" xfId="0" applyNumberFormat="1" applyFont="1" applyBorder="1" applyAlignment="1">
      <alignment horizontal="center"/>
    </xf>
    <xf numFmtId="9" fontId="0" fillId="0" borderId="0" xfId="0" applyNumberFormat="1"/>
    <xf numFmtId="168" fontId="11" fillId="0" borderId="0" xfId="0" applyNumberFormat="1" applyFont="1" applyAlignment="1">
      <alignment horizontal="right"/>
    </xf>
    <xf numFmtId="170" fontId="23" fillId="6" borderId="0" xfId="0" applyNumberFormat="1" applyFont="1" applyFill="1"/>
    <xf numFmtId="183" fontId="28" fillId="0" borderId="0" xfId="0" applyNumberFormat="1" applyFont="1"/>
    <xf numFmtId="168" fontId="28" fillId="0" borderId="0" xfId="0" applyNumberFormat="1" applyFont="1"/>
    <xf numFmtId="170" fontId="30" fillId="0" borderId="0" xfId="0" applyNumberFormat="1" applyFont="1"/>
    <xf numFmtId="169" fontId="30" fillId="0" borderId="0" xfId="0" applyNumberFormat="1" applyFont="1"/>
    <xf numFmtId="182" fontId="30" fillId="0" borderId="0" xfId="0" applyNumberFormat="1" applyFont="1"/>
    <xf numFmtId="168" fontId="31" fillId="0" borderId="0" xfId="0" applyNumberFormat="1" applyFont="1"/>
    <xf numFmtId="0" fontId="28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32" fillId="0" borderId="0" xfId="0" applyFont="1"/>
    <xf numFmtId="165" fontId="33" fillId="8" borderId="0" xfId="0" applyNumberFormat="1" applyFont="1" applyFill="1"/>
    <xf numFmtId="9" fontId="33" fillId="8" borderId="0" xfId="0" applyNumberFormat="1" applyFont="1" applyFill="1"/>
    <xf numFmtId="0" fontId="33" fillId="8" borderId="0" xfId="0" applyFont="1" applyFill="1" applyAlignment="1">
      <alignment horizontal="right"/>
    </xf>
    <xf numFmtId="174" fontId="33" fillId="8" borderId="0" xfId="0" applyNumberFormat="1" applyFont="1" applyFill="1"/>
    <xf numFmtId="165" fontId="33" fillId="8" borderId="0" xfId="3" applyNumberFormat="1" applyFont="1" applyFill="1"/>
    <xf numFmtId="168" fontId="34" fillId="0" borderId="0" xfId="0" applyNumberFormat="1" applyFont="1"/>
    <xf numFmtId="168" fontId="35" fillId="0" borderId="0" xfId="0" applyNumberFormat="1" applyFont="1"/>
    <xf numFmtId="170" fontId="34" fillId="0" borderId="0" xfId="0" applyNumberFormat="1" applyFont="1"/>
    <xf numFmtId="170" fontId="35" fillId="0" borderId="0" xfId="0" applyNumberFormat="1" applyFont="1"/>
    <xf numFmtId="167" fontId="36" fillId="4" borderId="0" xfId="5" applyNumberFormat="1" applyFont="1" applyBorder="1">
      <alignment horizontal="right"/>
    </xf>
    <xf numFmtId="175" fontId="12" fillId="0" borderId="0" xfId="0" applyNumberFormat="1" applyFont="1" applyAlignment="1">
      <alignment horizontal="center" vertical="center"/>
    </xf>
    <xf numFmtId="171" fontId="20" fillId="0" borderId="0" xfId="1" applyNumberFormat="1" applyFont="1"/>
    <xf numFmtId="171" fontId="20" fillId="0" borderId="0" xfId="0" applyNumberFormat="1" applyFont="1"/>
    <xf numFmtId="171" fontId="34" fillId="0" borderId="0" xfId="0" applyNumberFormat="1" applyFont="1"/>
    <xf numFmtId="167" fontId="10" fillId="4" borderId="0" xfId="6" applyNumberFormat="1" applyFont="1" applyBorder="1">
      <alignment horizontal="right"/>
    </xf>
    <xf numFmtId="185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187" fontId="38" fillId="0" borderId="1" xfId="0" applyNumberFormat="1" applyFont="1" applyBorder="1" applyAlignment="1">
      <alignment horizontal="right"/>
    </xf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187" fontId="38" fillId="0" borderId="1" xfId="0" applyNumberFormat="1" applyFont="1" applyBorder="1"/>
    <xf numFmtId="187" fontId="38" fillId="0" borderId="0" xfId="0" applyNumberFormat="1" applyFont="1"/>
    <xf numFmtId="164" fontId="34" fillId="6" borderId="0" xfId="1" applyNumberFormat="1" applyFont="1" applyFill="1"/>
    <xf numFmtId="167" fontId="12" fillId="4" borderId="0" xfId="5" applyNumberFormat="1" applyFont="1" applyBorder="1">
      <alignment horizontal="right"/>
    </xf>
    <xf numFmtId="167" fontId="12" fillId="4" borderId="0" xfId="6" applyNumberFormat="1" applyFont="1" applyBorder="1">
      <alignment horizontal="right"/>
    </xf>
    <xf numFmtId="171" fontId="12" fillId="4" borderId="0" xfId="6" applyNumberFormat="1" applyFont="1" applyBorder="1">
      <alignment horizontal="right"/>
    </xf>
    <xf numFmtId="1" fontId="34" fillId="0" borderId="0" xfId="0" applyNumberFormat="1" applyFont="1"/>
    <xf numFmtId="164" fontId="34" fillId="0" borderId="0" xfId="1" applyNumberFormat="1" applyFont="1"/>
    <xf numFmtId="171" fontId="34" fillId="0" borderId="0" xfId="1" applyNumberFormat="1" applyFont="1"/>
    <xf numFmtId="164" fontId="34" fillId="0" borderId="0" xfId="1" applyNumberFormat="1" applyFont="1" applyAlignment="1">
      <alignment horizontal="center"/>
    </xf>
    <xf numFmtId="9" fontId="34" fillId="0" borderId="0" xfId="0" applyNumberFormat="1" applyFont="1"/>
    <xf numFmtId="44" fontId="40" fillId="6" borderId="0" xfId="2" applyFont="1" applyFill="1"/>
    <xf numFmtId="167" fontId="34" fillId="0" borderId="0" xfId="0" applyNumberFormat="1" applyFont="1"/>
    <xf numFmtId="168" fontId="34" fillId="6" borderId="0" xfId="0" applyNumberFormat="1" applyFont="1" applyFill="1"/>
    <xf numFmtId="168" fontId="12" fillId="4" borderId="0" xfId="7" applyNumberFormat="1" applyFont="1" applyBorder="1">
      <alignment horizontal="right"/>
    </xf>
    <xf numFmtId="165" fontId="34" fillId="6" borderId="0" xfId="3" applyNumberFormat="1" applyFont="1" applyFill="1"/>
    <xf numFmtId="164" fontId="40" fillId="6" borderId="0" xfId="1" applyNumberFormat="1" applyFont="1" applyFill="1"/>
    <xf numFmtId="0" fontId="34" fillId="0" borderId="0" xfId="0" applyFont="1"/>
    <xf numFmtId="164" fontId="40" fillId="0" borderId="0" xfId="1" applyNumberFormat="1" applyFont="1"/>
    <xf numFmtId="164" fontId="36" fillId="4" borderId="0" xfId="1" applyNumberFormat="1" applyFont="1" applyFill="1" applyBorder="1" applyAlignment="1">
      <alignment horizontal="right"/>
    </xf>
    <xf numFmtId="164" fontId="12" fillId="4" borderId="0" xfId="1" applyNumberFormat="1" applyFont="1" applyFill="1" applyBorder="1" applyAlignment="1">
      <alignment horizontal="right"/>
    </xf>
    <xf numFmtId="165" fontId="25" fillId="0" borderId="0" xfId="3" applyNumberFormat="1" applyFont="1" applyAlignment="1">
      <alignment horizontal="right"/>
    </xf>
    <xf numFmtId="171" fontId="20" fillId="0" borderId="0" xfId="0" applyNumberFormat="1" applyFont="1" applyBorder="1"/>
    <xf numFmtId="171" fontId="20" fillId="0" borderId="0" xfId="1" applyNumberFormat="1" applyFont="1" applyAlignment="1">
      <alignment horizontal="right"/>
    </xf>
    <xf numFmtId="165" fontId="25" fillId="0" borderId="0" xfId="3" applyNumberFormat="1" applyFont="1" applyAlignment="1"/>
    <xf numFmtId="165" fontId="20" fillId="0" borderId="0" xfId="3" applyNumberFormat="1" applyFont="1" applyAlignment="1">
      <alignment horizontal="left"/>
    </xf>
    <xf numFmtId="0" fontId="39" fillId="8" borderId="0" xfId="0" applyFont="1" applyFill="1"/>
    <xf numFmtId="0" fontId="40" fillId="8" borderId="0" xfId="0" applyFont="1" applyFill="1"/>
    <xf numFmtId="14" fontId="0" fillId="0" borderId="0" xfId="0" applyNumberFormat="1"/>
    <xf numFmtId="8" fontId="0" fillId="0" borderId="0" xfId="0" applyNumberFormat="1"/>
    <xf numFmtId="0" fontId="11" fillId="0" borderId="0" xfId="0" quotePrefix="1" applyFont="1"/>
    <xf numFmtId="0" fontId="41" fillId="0" borderId="0" xfId="0" applyFont="1" applyAlignment="1">
      <alignment horizontal="center"/>
    </xf>
  </cellXfs>
  <cellStyles count="9">
    <cellStyle name="blp_column_header" xfId="8" xr:uid="{86362B50-F192-4A39-9EE1-1486A495205A}"/>
    <cellStyle name="Comma" xfId="1" builtinId="3"/>
    <cellStyle name="Currency" xfId="2" builtinId="4"/>
    <cellStyle name="fa_column_header_top" xfId="4" xr:uid="{CF245EB6-AB22-4E03-AA42-4080A9F1A0E6}"/>
    <cellStyle name="fa_data_bold_1_grouped" xfId="5" xr:uid="{409B730E-1EB5-43F3-90C8-2C0E6425D33E}"/>
    <cellStyle name="fa_data_standard_1_grouped" xfId="6" xr:uid="{56393CE8-3325-4D62-A8AA-EFD000C5DD20}"/>
    <cellStyle name="fa_data_standard_2_grouped" xfId="7" xr:uid="{A3A9D77B-F3FF-47C3-9F46-171C86C220E9}"/>
    <cellStyle name="Normal" xfId="0" builtinId="0"/>
    <cellStyle name="Percent" xfId="3" builtinId="5"/>
  </cellStyles>
  <dxfs count="1">
    <dxf>
      <fill>
        <patternFill>
          <bgColor rgb="FFFBEFCF"/>
        </patternFill>
      </fill>
    </dxf>
  </dxfs>
  <tableStyles count="0" defaultTableStyle="TableStyleMedium2" defaultPivotStyle="PivotStyleLight16"/>
  <colors>
    <mruColors>
      <color rgb="FFFBE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65700562785125E-2"/>
          <c:y val="4.6634877948145491E-2"/>
          <c:w val="0.81426465176481033"/>
          <c:h val="0.7724631894918300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'Valuation Range'!$B$4:$B$8</c:f>
              <c:strCache>
                <c:ptCount val="5"/>
                <c:pt idx="0">
                  <c:v>2020E EV/EBITDA</c:v>
                </c:pt>
                <c:pt idx="1">
                  <c:v>52-Week Trading Range</c:v>
                </c:pt>
                <c:pt idx="2">
                  <c:v>Wall Street Research Targets</c:v>
                </c:pt>
                <c:pt idx="3">
                  <c:v>Discounted Cash Flow</c:v>
                </c:pt>
                <c:pt idx="4">
                  <c:v>2024E P/E</c:v>
                </c:pt>
              </c:strCache>
            </c:strRef>
          </c:cat>
          <c:val>
            <c:numRef>
              <c:f>'Valuation Range'!$F$4:$F$8</c:f>
              <c:numCache>
                <c:formatCode>[$$-409]#,##0.00_);\([$$-409]#,##0.00\);[$$-409]#,##0.00_);@_)</c:formatCode>
                <c:ptCount val="5"/>
                <c:pt idx="0">
                  <c:v>79.174102236426634</c:v>
                </c:pt>
                <c:pt idx="1">
                  <c:v>83.28</c:v>
                </c:pt>
                <c:pt idx="2">
                  <c:v>83.6</c:v>
                </c:pt>
                <c:pt idx="3">
                  <c:v>75.239999999999995</c:v>
                </c:pt>
                <c:pt idx="4">
                  <c:v>81.12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2-4838-9144-F513B5C29136}"/>
            </c:ext>
          </c:extLst>
        </c:ser>
        <c:ser>
          <c:idx val="0"/>
          <c:order val="1"/>
          <c:spPr>
            <a:solidFill>
              <a:sysClr val="window" lastClr="FFFFF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'Valuation Range'!$B$4:$B$8</c:f>
              <c:strCache>
                <c:ptCount val="5"/>
                <c:pt idx="0">
                  <c:v>2020E EV/EBITDA</c:v>
                </c:pt>
                <c:pt idx="1">
                  <c:v>52-Week Trading Range</c:v>
                </c:pt>
                <c:pt idx="2">
                  <c:v>Wall Street Research Targets</c:v>
                </c:pt>
                <c:pt idx="3">
                  <c:v>Discounted Cash Flow</c:v>
                </c:pt>
                <c:pt idx="4">
                  <c:v>2024E P/E</c:v>
                </c:pt>
              </c:strCache>
            </c:strRef>
          </c:cat>
          <c:val>
            <c:numRef>
              <c:f>'Valuation Range'!$E$4:$E$8</c:f>
              <c:numCache>
                <c:formatCode>[$$-409]#,##0.00_);\([$$-409]#,##0.00\);[$$-409]#,##0.00_);@_)</c:formatCode>
                <c:ptCount val="5"/>
                <c:pt idx="0">
                  <c:v>40.619999999999997</c:v>
                </c:pt>
                <c:pt idx="1">
                  <c:v>43.33</c:v>
                </c:pt>
                <c:pt idx="2">
                  <c:v>35.200000000000003</c:v>
                </c:pt>
                <c:pt idx="3">
                  <c:v>52.27</c:v>
                </c:pt>
                <c:pt idx="4">
                  <c:v>49.92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2-4838-9144-F513B5C29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84110208"/>
        <c:axId val="1966182384"/>
      </c:barChart>
      <c:catAx>
        <c:axId val="148411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6182384"/>
        <c:crosses val="autoZero"/>
        <c:auto val="1"/>
        <c:lblAlgn val="ctr"/>
        <c:lblOffset val="100"/>
        <c:noMultiLvlLbl val="0"/>
      </c:catAx>
      <c:valAx>
        <c:axId val="1966182384"/>
        <c:scaling>
          <c:orientation val="minMax"/>
          <c:min val="0"/>
        </c:scaling>
        <c:delete val="0"/>
        <c:axPos val="l"/>
        <c:numFmt formatCode="[$$-409]#,##0.00_);\([$$-409]#,##0.00\);[$$-409]#,##0.00_);@_)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41102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1</xdr:row>
      <xdr:rowOff>19050</xdr:rowOff>
    </xdr:from>
    <xdr:to>
      <xdr:col>5</xdr:col>
      <xdr:colOff>866774</xdr:colOff>
      <xdr:row>18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EBC284-C32D-4C3F-8319-78AE35B66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/Downloads/ASRT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AST&gt;"/>
      <sheetName val="Stack"/>
      <sheetName val="ASRT&gt;"/>
      <sheetName val="Op Dash"/>
      <sheetName val="Op Model"/>
      <sheetName val="Comps&gt;"/>
      <sheetName val="ASRT"/>
      <sheetName val="_CIQHiddenCacheSheet"/>
      <sheetName val="AGN"/>
      <sheetName val="Backups&gt;"/>
      <sheetName val="Adjusted"/>
      <sheetName val="Reported"/>
      <sheetName val="Misc&gt;"/>
      <sheetName val="Tracker"/>
    </sheetNames>
    <sheetDataSet>
      <sheetData sheetId="0">
        <row r="7">
          <cell r="K7">
            <v>43675</v>
          </cell>
        </row>
        <row r="8">
          <cell r="K8">
            <v>43672</v>
          </cell>
        </row>
        <row r="9">
          <cell r="K9">
            <v>43671</v>
          </cell>
        </row>
        <row r="10">
          <cell r="K10">
            <v>43670</v>
          </cell>
        </row>
        <row r="11">
          <cell r="K11">
            <v>43669</v>
          </cell>
        </row>
        <row r="12">
          <cell r="K12">
            <v>43668</v>
          </cell>
        </row>
        <row r="13">
          <cell r="K13">
            <v>43665</v>
          </cell>
        </row>
        <row r="14">
          <cell r="K14">
            <v>43664</v>
          </cell>
        </row>
        <row r="15">
          <cell r="K15">
            <v>43663</v>
          </cell>
        </row>
        <row r="16">
          <cell r="K16">
            <v>43662</v>
          </cell>
        </row>
        <row r="17">
          <cell r="K17">
            <v>43661</v>
          </cell>
        </row>
        <row r="18">
          <cell r="K18">
            <v>43658</v>
          </cell>
        </row>
        <row r="19">
          <cell r="K19">
            <v>43657</v>
          </cell>
        </row>
        <row r="20">
          <cell r="K20">
            <v>43656</v>
          </cell>
        </row>
        <row r="21">
          <cell r="K21">
            <v>43655</v>
          </cell>
        </row>
        <row r="22">
          <cell r="K22">
            <v>43654</v>
          </cell>
        </row>
        <row r="23">
          <cell r="K23">
            <v>43651</v>
          </cell>
        </row>
        <row r="24">
          <cell r="K24">
            <v>43649</v>
          </cell>
        </row>
        <row r="25">
          <cell r="K25">
            <v>43648</v>
          </cell>
        </row>
        <row r="26">
          <cell r="K26">
            <v>43647</v>
          </cell>
        </row>
        <row r="27">
          <cell r="K27">
            <v>43644</v>
          </cell>
        </row>
        <row r="28">
          <cell r="K28">
            <v>43643</v>
          </cell>
        </row>
        <row r="29">
          <cell r="K29">
            <v>43642</v>
          </cell>
        </row>
        <row r="30">
          <cell r="K30">
            <v>43641</v>
          </cell>
        </row>
        <row r="31">
          <cell r="K31">
            <v>43640</v>
          </cell>
        </row>
        <row r="32">
          <cell r="K32">
            <v>43637</v>
          </cell>
        </row>
        <row r="33">
          <cell r="K33">
            <v>43636</v>
          </cell>
        </row>
        <row r="34">
          <cell r="K34">
            <v>43635</v>
          </cell>
        </row>
        <row r="35">
          <cell r="K35">
            <v>43634</v>
          </cell>
        </row>
        <row r="36">
          <cell r="K36">
            <v>43633</v>
          </cell>
        </row>
        <row r="37">
          <cell r="K37">
            <v>43630</v>
          </cell>
        </row>
        <row r="38">
          <cell r="K38">
            <v>43629</v>
          </cell>
        </row>
        <row r="39">
          <cell r="K39">
            <v>43628</v>
          </cell>
        </row>
        <row r="40">
          <cell r="K40">
            <v>43627</v>
          </cell>
        </row>
        <row r="41">
          <cell r="K41">
            <v>43626</v>
          </cell>
        </row>
        <row r="42">
          <cell r="K42">
            <v>43623</v>
          </cell>
        </row>
        <row r="43">
          <cell r="K43">
            <v>43622</v>
          </cell>
        </row>
        <row r="44">
          <cell r="K44">
            <v>43621</v>
          </cell>
        </row>
        <row r="45">
          <cell r="K45">
            <v>43620</v>
          </cell>
        </row>
        <row r="46">
          <cell r="K46">
            <v>43619</v>
          </cell>
        </row>
        <row r="47">
          <cell r="K47">
            <v>43616</v>
          </cell>
        </row>
        <row r="48">
          <cell r="K48">
            <v>43615</v>
          </cell>
        </row>
        <row r="49">
          <cell r="K49">
            <v>43614</v>
          </cell>
        </row>
        <row r="50">
          <cell r="K50">
            <v>43613</v>
          </cell>
        </row>
        <row r="51">
          <cell r="K51">
            <v>43609</v>
          </cell>
        </row>
        <row r="52">
          <cell r="K52">
            <v>43608</v>
          </cell>
        </row>
        <row r="53">
          <cell r="K53">
            <v>43607</v>
          </cell>
        </row>
        <row r="54">
          <cell r="K54">
            <v>43606</v>
          </cell>
        </row>
        <row r="55">
          <cell r="K55">
            <v>43605</v>
          </cell>
        </row>
        <row r="56">
          <cell r="K56">
            <v>43602</v>
          </cell>
        </row>
        <row r="57">
          <cell r="K57">
            <v>43601</v>
          </cell>
        </row>
        <row r="58">
          <cell r="K58">
            <v>43600</v>
          </cell>
        </row>
        <row r="59">
          <cell r="K59">
            <v>43599</v>
          </cell>
        </row>
        <row r="60">
          <cell r="K60">
            <v>43598</v>
          </cell>
        </row>
        <row r="61">
          <cell r="K61">
            <v>43595</v>
          </cell>
        </row>
        <row r="62">
          <cell r="K62">
            <v>43594</v>
          </cell>
        </row>
        <row r="63">
          <cell r="K63">
            <v>43593</v>
          </cell>
        </row>
        <row r="64">
          <cell r="K64">
            <v>43592</v>
          </cell>
        </row>
        <row r="65">
          <cell r="K65">
            <v>43591</v>
          </cell>
        </row>
        <row r="66">
          <cell r="K66">
            <v>43588</v>
          </cell>
        </row>
        <row r="67">
          <cell r="K67">
            <v>43587</v>
          </cell>
        </row>
        <row r="68">
          <cell r="K68">
            <v>43586</v>
          </cell>
        </row>
        <row r="69">
          <cell r="K69">
            <v>43585</v>
          </cell>
        </row>
        <row r="70">
          <cell r="K70">
            <v>43584</v>
          </cell>
        </row>
        <row r="71">
          <cell r="K71">
            <v>43581</v>
          </cell>
        </row>
        <row r="72">
          <cell r="K72">
            <v>43580</v>
          </cell>
        </row>
        <row r="73">
          <cell r="K73">
            <v>43579</v>
          </cell>
        </row>
        <row r="74">
          <cell r="K74">
            <v>43578</v>
          </cell>
        </row>
        <row r="75">
          <cell r="K75">
            <v>43577</v>
          </cell>
        </row>
        <row r="76">
          <cell r="K76">
            <v>43573</v>
          </cell>
        </row>
        <row r="77">
          <cell r="K77">
            <v>43572</v>
          </cell>
        </row>
        <row r="78">
          <cell r="K78">
            <v>43571</v>
          </cell>
        </row>
        <row r="79">
          <cell r="K79">
            <v>43570</v>
          </cell>
        </row>
        <row r="80">
          <cell r="K80">
            <v>43567</v>
          </cell>
        </row>
        <row r="81">
          <cell r="K81">
            <v>43566</v>
          </cell>
        </row>
        <row r="82">
          <cell r="K82">
            <v>43565</v>
          </cell>
        </row>
        <row r="83">
          <cell r="K83">
            <v>43564</v>
          </cell>
        </row>
        <row r="84">
          <cell r="K84">
            <v>43563</v>
          </cell>
        </row>
        <row r="85">
          <cell r="K85">
            <v>43560</v>
          </cell>
        </row>
        <row r="86">
          <cell r="K86">
            <v>43559</v>
          </cell>
        </row>
        <row r="87">
          <cell r="K87">
            <v>43558</v>
          </cell>
        </row>
        <row r="88">
          <cell r="K88">
            <v>43557</v>
          </cell>
        </row>
        <row r="89">
          <cell r="K89">
            <v>43556</v>
          </cell>
        </row>
        <row r="90">
          <cell r="K90">
            <v>43553</v>
          </cell>
        </row>
        <row r="91">
          <cell r="K91">
            <v>43552</v>
          </cell>
        </row>
        <row r="92">
          <cell r="K92">
            <v>43551</v>
          </cell>
        </row>
        <row r="93">
          <cell r="K93">
            <v>43550</v>
          </cell>
        </row>
        <row r="94">
          <cell r="K94">
            <v>43549</v>
          </cell>
        </row>
        <row r="95">
          <cell r="K95">
            <v>43546</v>
          </cell>
        </row>
        <row r="96">
          <cell r="K96">
            <v>43545</v>
          </cell>
        </row>
        <row r="97">
          <cell r="K97">
            <v>43544</v>
          </cell>
        </row>
        <row r="98">
          <cell r="K98">
            <v>43543</v>
          </cell>
        </row>
        <row r="99">
          <cell r="K99">
            <v>43542</v>
          </cell>
        </row>
        <row r="100">
          <cell r="K100">
            <v>43539</v>
          </cell>
        </row>
        <row r="101">
          <cell r="K101">
            <v>43538</v>
          </cell>
        </row>
        <row r="102">
          <cell r="K102">
            <v>43537</v>
          </cell>
        </row>
        <row r="103">
          <cell r="K103">
            <v>43536</v>
          </cell>
        </row>
        <row r="104">
          <cell r="K104">
            <v>43535</v>
          </cell>
        </row>
        <row r="105">
          <cell r="K105">
            <v>43532</v>
          </cell>
        </row>
        <row r="106">
          <cell r="K106">
            <v>43531</v>
          </cell>
        </row>
        <row r="107">
          <cell r="K107">
            <v>43530</v>
          </cell>
        </row>
        <row r="108">
          <cell r="K108">
            <v>43529</v>
          </cell>
        </row>
        <row r="109">
          <cell r="K109">
            <v>43528</v>
          </cell>
        </row>
        <row r="110">
          <cell r="K110">
            <v>43525</v>
          </cell>
        </row>
        <row r="111">
          <cell r="K111">
            <v>43524</v>
          </cell>
        </row>
        <row r="112">
          <cell r="K112">
            <v>43523</v>
          </cell>
        </row>
        <row r="113">
          <cell r="K113">
            <v>43522</v>
          </cell>
        </row>
        <row r="114">
          <cell r="K114">
            <v>43521</v>
          </cell>
        </row>
        <row r="115">
          <cell r="K115">
            <v>43518</v>
          </cell>
        </row>
        <row r="116">
          <cell r="K116">
            <v>43517</v>
          </cell>
        </row>
        <row r="117">
          <cell r="K117">
            <v>43516</v>
          </cell>
        </row>
        <row r="118">
          <cell r="K118">
            <v>43515</v>
          </cell>
        </row>
        <row r="119">
          <cell r="K119">
            <v>43511</v>
          </cell>
        </row>
        <row r="120">
          <cell r="K120">
            <v>43510</v>
          </cell>
        </row>
        <row r="121">
          <cell r="K121">
            <v>43509</v>
          </cell>
        </row>
        <row r="122">
          <cell r="K122">
            <v>43508</v>
          </cell>
        </row>
        <row r="123">
          <cell r="K123">
            <v>43507</v>
          </cell>
        </row>
        <row r="124">
          <cell r="K124">
            <v>43504</v>
          </cell>
        </row>
        <row r="125">
          <cell r="K125">
            <v>43503</v>
          </cell>
        </row>
        <row r="126">
          <cell r="K126">
            <v>43502</v>
          </cell>
        </row>
        <row r="127">
          <cell r="K127">
            <v>43501</v>
          </cell>
        </row>
        <row r="128">
          <cell r="K128">
            <v>43500</v>
          </cell>
        </row>
        <row r="129">
          <cell r="K129">
            <v>43497</v>
          </cell>
        </row>
        <row r="130">
          <cell r="K130">
            <v>43496</v>
          </cell>
        </row>
        <row r="131">
          <cell r="K131">
            <v>43495</v>
          </cell>
        </row>
        <row r="132">
          <cell r="K132">
            <v>43494</v>
          </cell>
        </row>
        <row r="133">
          <cell r="K133">
            <v>43493</v>
          </cell>
        </row>
        <row r="134">
          <cell r="K134">
            <v>43490</v>
          </cell>
        </row>
        <row r="135">
          <cell r="K135">
            <v>43489</v>
          </cell>
        </row>
        <row r="136">
          <cell r="K136">
            <v>43488</v>
          </cell>
        </row>
        <row r="137">
          <cell r="K137">
            <v>43487</v>
          </cell>
        </row>
        <row r="138">
          <cell r="K138">
            <v>43483</v>
          </cell>
        </row>
        <row r="139">
          <cell r="K139">
            <v>43482</v>
          </cell>
        </row>
        <row r="140">
          <cell r="K140">
            <v>43481</v>
          </cell>
        </row>
        <row r="141">
          <cell r="K141">
            <v>43480</v>
          </cell>
        </row>
        <row r="142">
          <cell r="K142">
            <v>43479</v>
          </cell>
        </row>
        <row r="143">
          <cell r="K143">
            <v>43476</v>
          </cell>
        </row>
        <row r="144">
          <cell r="K144">
            <v>43475</v>
          </cell>
        </row>
        <row r="145">
          <cell r="K145">
            <v>43474</v>
          </cell>
        </row>
        <row r="146">
          <cell r="K146">
            <v>43473</v>
          </cell>
        </row>
        <row r="147">
          <cell r="K147">
            <v>43472</v>
          </cell>
        </row>
        <row r="148">
          <cell r="K148">
            <v>43469</v>
          </cell>
        </row>
        <row r="149">
          <cell r="K149">
            <v>43468</v>
          </cell>
        </row>
        <row r="150">
          <cell r="K150">
            <v>43467</v>
          </cell>
        </row>
        <row r="151">
          <cell r="K151">
            <v>43465</v>
          </cell>
        </row>
        <row r="152">
          <cell r="K152">
            <v>43462</v>
          </cell>
        </row>
        <row r="153">
          <cell r="K153">
            <v>43461</v>
          </cell>
        </row>
        <row r="154">
          <cell r="K154">
            <v>43460</v>
          </cell>
        </row>
        <row r="155">
          <cell r="K155">
            <v>43458</v>
          </cell>
        </row>
        <row r="156">
          <cell r="K156">
            <v>43455</v>
          </cell>
        </row>
        <row r="157">
          <cell r="K157">
            <v>43454</v>
          </cell>
        </row>
        <row r="158">
          <cell r="K158">
            <v>43453</v>
          </cell>
        </row>
        <row r="159">
          <cell r="K159">
            <v>43452</v>
          </cell>
        </row>
        <row r="160">
          <cell r="K160">
            <v>43451</v>
          </cell>
        </row>
        <row r="161">
          <cell r="K161">
            <v>43448</v>
          </cell>
        </row>
        <row r="162">
          <cell r="K162">
            <v>43447</v>
          </cell>
        </row>
        <row r="163">
          <cell r="K163">
            <v>43446</v>
          </cell>
        </row>
        <row r="164">
          <cell r="K164">
            <v>43445</v>
          </cell>
        </row>
        <row r="165">
          <cell r="K165">
            <v>43444</v>
          </cell>
        </row>
        <row r="166">
          <cell r="K166">
            <v>43441</v>
          </cell>
        </row>
        <row r="167">
          <cell r="K167">
            <v>43440</v>
          </cell>
        </row>
        <row r="168">
          <cell r="K168">
            <v>43438</v>
          </cell>
        </row>
        <row r="169">
          <cell r="K169">
            <v>43437</v>
          </cell>
        </row>
        <row r="170">
          <cell r="K170">
            <v>43434</v>
          </cell>
        </row>
        <row r="171">
          <cell r="K171">
            <v>43433</v>
          </cell>
        </row>
        <row r="172">
          <cell r="K172">
            <v>43432</v>
          </cell>
        </row>
        <row r="173">
          <cell r="K173">
            <v>43431</v>
          </cell>
        </row>
        <row r="174">
          <cell r="K174">
            <v>43430</v>
          </cell>
        </row>
        <row r="175">
          <cell r="K175">
            <v>43427</v>
          </cell>
        </row>
        <row r="176">
          <cell r="K176">
            <v>43425</v>
          </cell>
        </row>
        <row r="177">
          <cell r="K177">
            <v>43424</v>
          </cell>
        </row>
        <row r="178">
          <cell r="K178">
            <v>43423</v>
          </cell>
        </row>
        <row r="179">
          <cell r="K179">
            <v>43420</v>
          </cell>
        </row>
        <row r="180">
          <cell r="K180">
            <v>43419</v>
          </cell>
        </row>
        <row r="181">
          <cell r="K181">
            <v>43418</v>
          </cell>
        </row>
        <row r="182">
          <cell r="K182">
            <v>43417</v>
          </cell>
        </row>
        <row r="183">
          <cell r="K183">
            <v>43416</v>
          </cell>
        </row>
        <row r="184">
          <cell r="K184">
            <v>43413</v>
          </cell>
        </row>
        <row r="185">
          <cell r="K185">
            <v>43412</v>
          </cell>
        </row>
        <row r="186">
          <cell r="K186">
            <v>43411</v>
          </cell>
        </row>
        <row r="187">
          <cell r="K187">
            <v>43410</v>
          </cell>
        </row>
        <row r="188">
          <cell r="K188">
            <v>43409</v>
          </cell>
        </row>
        <row r="189">
          <cell r="K189">
            <v>43406</v>
          </cell>
        </row>
        <row r="190">
          <cell r="K190">
            <v>43405</v>
          </cell>
        </row>
        <row r="191">
          <cell r="K191">
            <v>43404</v>
          </cell>
        </row>
        <row r="192">
          <cell r="K192">
            <v>43403</v>
          </cell>
        </row>
        <row r="193">
          <cell r="K193">
            <v>43402</v>
          </cell>
        </row>
        <row r="194">
          <cell r="K194">
            <v>43399</v>
          </cell>
        </row>
        <row r="195">
          <cell r="K195">
            <v>43398</v>
          </cell>
        </row>
        <row r="196">
          <cell r="K196">
            <v>43397</v>
          </cell>
        </row>
        <row r="197">
          <cell r="K197">
            <v>43396</v>
          </cell>
        </row>
        <row r="198">
          <cell r="K198">
            <v>43395</v>
          </cell>
        </row>
        <row r="199">
          <cell r="K199">
            <v>43392</v>
          </cell>
        </row>
        <row r="200">
          <cell r="K200">
            <v>43391</v>
          </cell>
        </row>
        <row r="201">
          <cell r="K201">
            <v>43390</v>
          </cell>
        </row>
        <row r="202">
          <cell r="K202">
            <v>43389</v>
          </cell>
        </row>
        <row r="203">
          <cell r="K203">
            <v>43388</v>
          </cell>
        </row>
        <row r="204">
          <cell r="K204">
            <v>43385</v>
          </cell>
        </row>
        <row r="205">
          <cell r="K205">
            <v>43384</v>
          </cell>
        </row>
        <row r="206">
          <cell r="K206">
            <v>43383</v>
          </cell>
        </row>
        <row r="207">
          <cell r="K207">
            <v>43382</v>
          </cell>
        </row>
        <row r="208">
          <cell r="K208">
            <v>43381</v>
          </cell>
        </row>
        <row r="209">
          <cell r="K209">
            <v>43378</v>
          </cell>
        </row>
        <row r="210">
          <cell r="K210">
            <v>43377</v>
          </cell>
        </row>
        <row r="211">
          <cell r="K211">
            <v>43376</v>
          </cell>
        </row>
        <row r="212">
          <cell r="K212">
            <v>43375</v>
          </cell>
        </row>
        <row r="213">
          <cell r="K213">
            <v>43374</v>
          </cell>
        </row>
        <row r="214">
          <cell r="K214">
            <v>43371</v>
          </cell>
        </row>
        <row r="215">
          <cell r="K215">
            <v>43370</v>
          </cell>
        </row>
        <row r="216">
          <cell r="K216">
            <v>43369</v>
          </cell>
        </row>
        <row r="217">
          <cell r="K217">
            <v>43368</v>
          </cell>
        </row>
        <row r="218">
          <cell r="K218">
            <v>43367</v>
          </cell>
        </row>
        <row r="219">
          <cell r="K219">
            <v>43364</v>
          </cell>
        </row>
        <row r="220">
          <cell r="K220">
            <v>43363</v>
          </cell>
        </row>
        <row r="221">
          <cell r="K221">
            <v>43362</v>
          </cell>
        </row>
        <row r="222">
          <cell r="K222">
            <v>43361</v>
          </cell>
        </row>
        <row r="223">
          <cell r="K223">
            <v>43360</v>
          </cell>
        </row>
        <row r="224">
          <cell r="K224">
            <v>43357</v>
          </cell>
        </row>
        <row r="225">
          <cell r="K225">
            <v>43356</v>
          </cell>
        </row>
        <row r="226">
          <cell r="K226">
            <v>43355</v>
          </cell>
        </row>
        <row r="227">
          <cell r="K227">
            <v>43354</v>
          </cell>
        </row>
        <row r="228">
          <cell r="K228">
            <v>43353</v>
          </cell>
        </row>
        <row r="229">
          <cell r="K229">
            <v>43350</v>
          </cell>
        </row>
        <row r="230">
          <cell r="K230">
            <v>43349</v>
          </cell>
        </row>
        <row r="231">
          <cell r="K231">
            <v>43348</v>
          </cell>
        </row>
        <row r="232">
          <cell r="K232">
            <v>43347</v>
          </cell>
        </row>
        <row r="233">
          <cell r="K233">
            <v>43343</v>
          </cell>
        </row>
        <row r="234">
          <cell r="K234">
            <v>43342</v>
          </cell>
        </row>
        <row r="235">
          <cell r="K235">
            <v>43341</v>
          </cell>
        </row>
        <row r="236">
          <cell r="K236">
            <v>43340</v>
          </cell>
        </row>
        <row r="237">
          <cell r="K237">
            <v>43339</v>
          </cell>
        </row>
        <row r="238">
          <cell r="K238">
            <v>43336</v>
          </cell>
        </row>
        <row r="239">
          <cell r="K239">
            <v>43335</v>
          </cell>
        </row>
        <row r="240">
          <cell r="K240">
            <v>43334</v>
          </cell>
        </row>
        <row r="241">
          <cell r="K241">
            <v>43333</v>
          </cell>
        </row>
        <row r="242">
          <cell r="K242">
            <v>43332</v>
          </cell>
        </row>
        <row r="243">
          <cell r="K243">
            <v>43329</v>
          </cell>
        </row>
        <row r="244">
          <cell r="K244">
            <v>43328</v>
          </cell>
        </row>
        <row r="245">
          <cell r="K245">
            <v>43327</v>
          </cell>
        </row>
        <row r="246">
          <cell r="K246">
            <v>43326</v>
          </cell>
        </row>
        <row r="247">
          <cell r="K247">
            <v>43325</v>
          </cell>
        </row>
        <row r="248">
          <cell r="K248">
            <v>43322</v>
          </cell>
        </row>
        <row r="249">
          <cell r="K249">
            <v>43321</v>
          </cell>
        </row>
        <row r="250">
          <cell r="K250">
            <v>43320</v>
          </cell>
        </row>
        <row r="251">
          <cell r="K251">
            <v>43319</v>
          </cell>
        </row>
        <row r="252">
          <cell r="K252">
            <v>43318</v>
          </cell>
        </row>
        <row r="253">
          <cell r="K253">
            <v>43315</v>
          </cell>
        </row>
        <row r="254">
          <cell r="K254">
            <v>43314</v>
          </cell>
        </row>
        <row r="255">
          <cell r="K255">
            <v>43313</v>
          </cell>
        </row>
        <row r="256">
          <cell r="K256">
            <v>43312</v>
          </cell>
        </row>
        <row r="257">
          <cell r="K257">
            <v>43311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AC706-A73B-4ADF-AA73-F446BC3CC832}">
  <sheetPr>
    <tabColor rgb="FF00B050"/>
    <pageSetUpPr fitToPage="1"/>
  </sheetPr>
  <dimension ref="B2:Y23"/>
  <sheetViews>
    <sheetView showGridLines="0" view="pageBreakPreview" zoomScale="130" zoomScaleNormal="100" zoomScaleSheetLayoutView="130" workbookViewId="0"/>
  </sheetViews>
  <sheetFormatPr defaultRowHeight="14.25" x14ac:dyDescent="0.2"/>
  <cols>
    <col min="1" max="1" width="9.140625" style="36"/>
    <col min="2" max="2" width="35.5703125" style="36" bestFit="1" customWidth="1"/>
    <col min="3" max="3" width="6.7109375" style="36" customWidth="1"/>
    <col min="4" max="6" width="9.7109375" style="36" bestFit="1" customWidth="1"/>
    <col min="7" max="13" width="0" style="36" hidden="1" customWidth="1"/>
    <col min="14" max="14" width="9.140625" style="36" hidden="1" customWidth="1"/>
    <col min="15" max="17" width="0" style="36" hidden="1" customWidth="1"/>
    <col min="18" max="18" width="30.140625" style="36" bestFit="1" customWidth="1"/>
    <col min="19" max="19" width="1.5703125" style="36" customWidth="1"/>
    <col min="20" max="20" width="14.140625" style="36" bestFit="1" customWidth="1"/>
    <col min="21" max="25" width="9.140625" style="36" bestFit="1" customWidth="1"/>
    <col min="26" max="16384" width="9.140625" style="36"/>
  </cols>
  <sheetData>
    <row r="2" spans="2:25" ht="15" x14ac:dyDescent="0.25">
      <c r="B2" s="116" t="s">
        <v>28</v>
      </c>
      <c r="D2" s="76" t="s">
        <v>48</v>
      </c>
      <c r="E2" s="75" t="s">
        <v>49</v>
      </c>
      <c r="F2" s="75" t="s">
        <v>50</v>
      </c>
      <c r="G2" s="75" t="s">
        <v>51</v>
      </c>
      <c r="H2" s="75" t="s">
        <v>52</v>
      </c>
      <c r="I2" s="75" t="s">
        <v>106</v>
      </c>
      <c r="J2" s="75" t="s">
        <v>107</v>
      </c>
      <c r="K2" s="75" t="s">
        <v>108</v>
      </c>
      <c r="L2" s="75" t="s">
        <v>109</v>
      </c>
      <c r="M2" s="75" t="s">
        <v>53</v>
      </c>
      <c r="N2" s="75" t="s">
        <v>54</v>
      </c>
      <c r="O2" s="75" t="s">
        <v>59</v>
      </c>
      <c r="P2" s="75" t="s">
        <v>60</v>
      </c>
      <c r="R2" s="116" t="s">
        <v>115</v>
      </c>
      <c r="S2" s="117"/>
      <c r="T2" s="118" t="s">
        <v>119</v>
      </c>
      <c r="U2" s="75" t="s">
        <v>95</v>
      </c>
      <c r="V2" s="75" t="s">
        <v>96</v>
      </c>
      <c r="W2" s="75" t="s">
        <v>99</v>
      </c>
      <c r="X2" s="75" t="s">
        <v>111</v>
      </c>
      <c r="Y2" s="75" t="s">
        <v>112</v>
      </c>
    </row>
    <row r="3" spans="2:25" x14ac:dyDescent="0.2">
      <c r="B3" s="36" t="s">
        <v>71</v>
      </c>
      <c r="D3" s="158">
        <v>0.02</v>
      </c>
      <c r="E3" s="37">
        <v>0.04</v>
      </c>
      <c r="F3" s="37">
        <v>0.04</v>
      </c>
      <c r="G3" s="37">
        <v>0.03</v>
      </c>
      <c r="H3" s="37">
        <v>0.03</v>
      </c>
      <c r="I3" s="37">
        <v>0.02</v>
      </c>
      <c r="J3" s="37">
        <v>0.03</v>
      </c>
      <c r="K3" s="37">
        <v>0.02</v>
      </c>
      <c r="L3" s="37">
        <v>0.02</v>
      </c>
      <c r="M3" s="37">
        <v>0.02</v>
      </c>
      <c r="N3" s="37">
        <v>0.02</v>
      </c>
      <c r="O3" s="37">
        <v>5.0000000000000001E-3</v>
      </c>
      <c r="P3" s="37">
        <v>5.0000000000000001E-3</v>
      </c>
      <c r="T3" s="36" t="str">
        <f>B3</f>
        <v>Bull</v>
      </c>
      <c r="V3" s="37">
        <v>1.4999999999999999E-2</v>
      </c>
      <c r="W3" s="37">
        <v>1.4999999999999999E-2</v>
      </c>
      <c r="X3" s="37">
        <v>1.4999999999999999E-2</v>
      </c>
      <c r="Y3" s="37">
        <v>1.4999999999999999E-2</v>
      </c>
    </row>
    <row r="4" spans="2:25" x14ac:dyDescent="0.2">
      <c r="B4" s="36" t="s">
        <v>69</v>
      </c>
      <c r="D4" s="158">
        <v>0</v>
      </c>
      <c r="E4" s="37">
        <v>0.03</v>
      </c>
      <c r="F4" s="37">
        <v>0.03</v>
      </c>
      <c r="G4" s="37">
        <v>0.02</v>
      </c>
      <c r="H4" s="37">
        <v>0.02</v>
      </c>
      <c r="I4" s="37">
        <v>1.4999999999999999E-2</v>
      </c>
      <c r="J4" s="37">
        <v>0.02</v>
      </c>
      <c r="K4" s="37">
        <v>1.4999999999999999E-2</v>
      </c>
      <c r="L4" s="37">
        <v>1.4999999999999999E-2</v>
      </c>
      <c r="M4" s="37">
        <v>1.4999999999999999E-2</v>
      </c>
      <c r="N4" s="37">
        <v>1.4999999999999999E-2</v>
      </c>
      <c r="O4" s="37">
        <v>0</v>
      </c>
      <c r="P4" s="37">
        <v>0</v>
      </c>
      <c r="T4" s="36" t="str">
        <f t="shared" ref="T4:T6" si="0">B4</f>
        <v>Base</v>
      </c>
      <c r="V4" s="37">
        <v>0.01</v>
      </c>
      <c r="W4" s="37">
        <v>0.01</v>
      </c>
      <c r="X4" s="37">
        <v>7.4999999999999997E-3</v>
      </c>
      <c r="Y4" s="37">
        <v>5.0000000000000001E-3</v>
      </c>
    </row>
    <row r="5" spans="2:25" x14ac:dyDescent="0.2">
      <c r="B5" s="36" t="s">
        <v>70</v>
      </c>
      <c r="D5" s="158">
        <v>-0.03</v>
      </c>
      <c r="E5" s="37">
        <v>-0.01</v>
      </c>
      <c r="F5" s="37">
        <v>0</v>
      </c>
      <c r="G5" s="37">
        <v>-0.03</v>
      </c>
      <c r="H5" s="37">
        <v>-0.02</v>
      </c>
      <c r="I5" s="37">
        <v>-1.2500000000000001E-2</v>
      </c>
      <c r="J5" s="37">
        <v>-1.4999999999999999E-2</v>
      </c>
      <c r="K5" s="37">
        <v>-1.7500000000000002E-2</v>
      </c>
      <c r="L5" s="37">
        <v>-0.02</v>
      </c>
      <c r="M5" s="37">
        <v>-2.2499999999999999E-2</v>
      </c>
      <c r="N5" s="37">
        <v>-2.5000000000000001E-2</v>
      </c>
      <c r="O5" s="37">
        <v>-2.75E-2</v>
      </c>
      <c r="P5" s="37">
        <v>-0.03</v>
      </c>
      <c r="T5" s="36" t="str">
        <f t="shared" si="0"/>
        <v>Bear</v>
      </c>
      <c r="V5" s="37">
        <v>-0.01</v>
      </c>
      <c r="W5" s="37">
        <v>-0.01</v>
      </c>
      <c r="X5" s="37">
        <v>-0.01</v>
      </c>
      <c r="Y5" s="37">
        <v>-0.01</v>
      </c>
    </row>
    <row r="6" spans="2:25" x14ac:dyDescent="0.2">
      <c r="B6" s="36" t="s">
        <v>121</v>
      </c>
      <c r="D6" s="158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T6" s="36" t="str">
        <f t="shared" si="0"/>
        <v>Zero-Growth</v>
      </c>
      <c r="V6" s="37">
        <v>0</v>
      </c>
      <c r="W6" s="37">
        <v>0</v>
      </c>
      <c r="X6" s="37">
        <v>0</v>
      </c>
      <c r="Y6" s="37">
        <v>0</v>
      </c>
    </row>
    <row r="7" spans="2:25" ht="15" x14ac:dyDescent="0.25">
      <c r="B7" s="116" t="s">
        <v>165</v>
      </c>
      <c r="D7" s="76" t="s">
        <v>48</v>
      </c>
      <c r="E7" s="75" t="s">
        <v>49</v>
      </c>
      <c r="F7" s="75" t="s">
        <v>50</v>
      </c>
      <c r="G7" s="75" t="s">
        <v>51</v>
      </c>
      <c r="H7" s="75" t="s">
        <v>52</v>
      </c>
      <c r="I7" s="75" t="s">
        <v>106</v>
      </c>
      <c r="J7" s="75" t="s">
        <v>107</v>
      </c>
      <c r="K7" s="75" t="s">
        <v>108</v>
      </c>
      <c r="L7" s="75" t="s">
        <v>109</v>
      </c>
      <c r="M7" s="75" t="s">
        <v>53</v>
      </c>
      <c r="N7" s="75" t="s">
        <v>54</v>
      </c>
      <c r="O7" s="75" t="s">
        <v>59</v>
      </c>
      <c r="P7" s="75" t="s">
        <v>60</v>
      </c>
      <c r="R7" s="116" t="s">
        <v>114</v>
      </c>
      <c r="S7" s="117"/>
      <c r="T7" s="118" t="s">
        <v>119</v>
      </c>
      <c r="U7" s="75" t="s">
        <v>95</v>
      </c>
      <c r="V7" s="75" t="s">
        <v>96</v>
      </c>
      <c r="W7" s="75" t="s">
        <v>99</v>
      </c>
      <c r="X7" s="75" t="s">
        <v>111</v>
      </c>
      <c r="Y7" s="75" t="s">
        <v>112</v>
      </c>
    </row>
    <row r="8" spans="2:25" x14ac:dyDescent="0.2">
      <c r="B8" s="36" t="str">
        <f>B3</f>
        <v>Bull</v>
      </c>
      <c r="D8" s="158">
        <v>3.5000000000000001E-3</v>
      </c>
      <c r="E8" s="37">
        <v>3.5000000000000001E-3</v>
      </c>
      <c r="F8" s="37">
        <v>3.5000000000000001E-3</v>
      </c>
      <c r="G8" s="37">
        <v>-1E-3</v>
      </c>
      <c r="H8" s="37">
        <v>-3.5000000000000001E-3</v>
      </c>
      <c r="I8" s="37">
        <v>-3.5000000000000001E-3</v>
      </c>
      <c r="J8" s="37">
        <v>-3.5000000000000001E-3</v>
      </c>
      <c r="K8" s="37">
        <v>-1E-3</v>
      </c>
      <c r="L8" s="37">
        <v>-1E-3</v>
      </c>
      <c r="M8" s="37">
        <v>-1E-3</v>
      </c>
      <c r="N8" s="37">
        <v>-1E-3</v>
      </c>
      <c r="O8" s="37">
        <v>1E-3</v>
      </c>
      <c r="P8" s="37">
        <v>1E-3</v>
      </c>
      <c r="T8" s="36" t="str">
        <f>B3</f>
        <v>Bull</v>
      </c>
      <c r="U8" s="119">
        <v>0.29165167089010124</v>
      </c>
      <c r="V8" s="37">
        <v>0.29082583544505058</v>
      </c>
      <c r="W8" s="37">
        <v>0.28999999999999998</v>
      </c>
      <c r="X8" s="37">
        <v>0.28499999999999998</v>
      </c>
      <c r="Y8" s="37">
        <v>0.28000000000000003</v>
      </c>
    </row>
    <row r="9" spans="2:25" x14ac:dyDescent="0.2">
      <c r="B9" s="36" t="str">
        <f t="shared" ref="B9:B11" si="1">B4</f>
        <v>Base</v>
      </c>
      <c r="D9" s="158">
        <f>0.0035</f>
        <v>3.5000000000000001E-3</v>
      </c>
      <c r="E9" s="37">
        <f>0.0035</f>
        <v>3.5000000000000001E-3</v>
      </c>
      <c r="F9" s="37">
        <f>0.0035</f>
        <v>3.5000000000000001E-3</v>
      </c>
      <c r="G9" s="37">
        <v>-1E-3</v>
      </c>
      <c r="H9" s="37">
        <v>-1E-3</v>
      </c>
      <c r="I9" s="37">
        <v>-1E-3</v>
      </c>
      <c r="J9" s="37">
        <v>-1E-3</v>
      </c>
      <c r="K9" s="37">
        <v>-1E-3</v>
      </c>
      <c r="L9" s="37">
        <v>-1E-3</v>
      </c>
      <c r="M9" s="37">
        <v>-1E-3</v>
      </c>
      <c r="N9" s="37">
        <v>-1E-3</v>
      </c>
      <c r="O9" s="37">
        <v>2.5000000000000001E-3</v>
      </c>
      <c r="P9" s="37">
        <v>2.5000000000000001E-3</v>
      </c>
      <c r="T9" s="36" t="str">
        <f t="shared" ref="T9:T11" si="2">B4</f>
        <v>Base</v>
      </c>
      <c r="U9" s="119">
        <v>0.29330334178020251</v>
      </c>
      <c r="V9" s="37">
        <v>0.29170000000000001</v>
      </c>
      <c r="W9" s="37">
        <v>0.2908</v>
      </c>
      <c r="X9" s="37">
        <v>0.28999999999999998</v>
      </c>
      <c r="Y9" s="37">
        <v>0.28999999999999998</v>
      </c>
    </row>
    <row r="10" spans="2:25" x14ac:dyDescent="0.2">
      <c r="B10" s="36" t="str">
        <f t="shared" si="1"/>
        <v>Bear</v>
      </c>
      <c r="D10" s="158">
        <v>6.2500000000000003E-3</v>
      </c>
      <c r="E10" s="37">
        <v>6.2500000000000003E-3</v>
      </c>
      <c r="F10" s="37">
        <v>6.2500000000000003E-3</v>
      </c>
      <c r="G10" s="37">
        <v>6.2500000000000003E-3</v>
      </c>
      <c r="H10" s="37">
        <v>2.5000000000000001E-3</v>
      </c>
      <c r="I10" s="37">
        <v>2.5000000000000001E-3</v>
      </c>
      <c r="J10" s="37">
        <v>2.5000000000000001E-3</v>
      </c>
      <c r="K10" s="37">
        <v>2.5000000000000001E-3</v>
      </c>
      <c r="L10" s="37">
        <v>0</v>
      </c>
      <c r="M10" s="37">
        <v>0</v>
      </c>
      <c r="N10" s="37">
        <v>0</v>
      </c>
      <c r="O10" s="37">
        <v>0.01</v>
      </c>
      <c r="P10" s="37">
        <v>0.01</v>
      </c>
      <c r="T10" s="36" t="str">
        <f t="shared" si="2"/>
        <v>Bear</v>
      </c>
      <c r="U10" s="119">
        <v>0.29549999999999998</v>
      </c>
      <c r="V10" s="37">
        <v>0.29649999999999999</v>
      </c>
      <c r="W10" s="37">
        <v>0.29749999999999999</v>
      </c>
      <c r="X10" s="37">
        <v>0.29849999999999999</v>
      </c>
      <c r="Y10" s="37">
        <v>0.3</v>
      </c>
    </row>
    <row r="11" spans="2:25" x14ac:dyDescent="0.2">
      <c r="B11" s="36" t="str">
        <f t="shared" si="1"/>
        <v>Zero-Growth</v>
      </c>
      <c r="D11" s="158">
        <f>0.0035</f>
        <v>3.5000000000000001E-3</v>
      </c>
      <c r="E11" s="37">
        <f>0.0035</f>
        <v>3.5000000000000001E-3</v>
      </c>
      <c r="F11" s="37">
        <f>0.0035</f>
        <v>3.5000000000000001E-3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T11" s="36" t="str">
        <f t="shared" si="2"/>
        <v>Zero-Growth</v>
      </c>
      <c r="U11" s="119">
        <v>0.28999999999999998</v>
      </c>
      <c r="V11" s="37">
        <v>0.29165167089010124</v>
      </c>
      <c r="W11" s="37">
        <v>0.29165167089010124</v>
      </c>
      <c r="X11" s="37">
        <v>0.29165167089010124</v>
      </c>
      <c r="Y11" s="37">
        <v>0.29165167089010124</v>
      </c>
    </row>
    <row r="12" spans="2:25" ht="15" x14ac:dyDescent="0.25">
      <c r="B12" s="116" t="s">
        <v>116</v>
      </c>
      <c r="D12" s="76" t="s">
        <v>48</v>
      </c>
      <c r="E12" s="75" t="s">
        <v>49</v>
      </c>
      <c r="F12" s="75" t="s">
        <v>50</v>
      </c>
      <c r="G12" s="75" t="s">
        <v>51</v>
      </c>
      <c r="H12" s="75" t="s">
        <v>52</v>
      </c>
      <c r="I12" s="75" t="s">
        <v>106</v>
      </c>
      <c r="J12" s="75" t="s">
        <v>107</v>
      </c>
      <c r="K12" s="75" t="s">
        <v>108</v>
      </c>
      <c r="L12" s="75" t="s">
        <v>109</v>
      </c>
      <c r="M12" s="75" t="s">
        <v>53</v>
      </c>
      <c r="N12" s="75" t="s">
        <v>54</v>
      </c>
      <c r="O12" s="75" t="s">
        <v>59</v>
      </c>
      <c r="P12" s="75" t="s">
        <v>60</v>
      </c>
      <c r="R12" s="116" t="s">
        <v>116</v>
      </c>
      <c r="S12" s="117"/>
      <c r="T12" s="118" t="s">
        <v>119</v>
      </c>
      <c r="U12" s="75" t="s">
        <v>95</v>
      </c>
      <c r="V12" s="75" t="s">
        <v>96</v>
      </c>
      <c r="W12" s="75" t="s">
        <v>99</v>
      </c>
      <c r="X12" s="75" t="s">
        <v>111</v>
      </c>
      <c r="Y12" s="75" t="s">
        <v>112</v>
      </c>
    </row>
    <row r="13" spans="2:25" x14ac:dyDescent="0.2">
      <c r="B13" s="36" t="str">
        <f>B3</f>
        <v>Bull</v>
      </c>
      <c r="D13" s="158">
        <v>0</v>
      </c>
      <c r="E13" s="37">
        <v>0</v>
      </c>
      <c r="F13" s="37">
        <v>0</v>
      </c>
      <c r="G13" s="37">
        <v>0</v>
      </c>
      <c r="H13" s="37">
        <v>5.0000000000000001E-4</v>
      </c>
      <c r="I13" s="37">
        <v>5.0000000000000001E-4</v>
      </c>
      <c r="J13" s="37">
        <v>5.0000000000000001E-4</v>
      </c>
      <c r="K13" s="37">
        <v>5.0000000000000001E-4</v>
      </c>
      <c r="L13" s="37">
        <v>5.0000000000000001E-4</v>
      </c>
      <c r="M13" s="37">
        <v>5.0000000000000001E-4</v>
      </c>
      <c r="N13" s="37">
        <v>5.0000000000000001E-4</v>
      </c>
      <c r="O13" s="37">
        <v>2.5000000000000001E-4</v>
      </c>
      <c r="P13" s="37">
        <v>2.5000000000000001E-4</v>
      </c>
      <c r="T13" s="36" t="str">
        <f>B3</f>
        <v>Bull</v>
      </c>
      <c r="U13" s="119">
        <v>-4.6000000000000001E-4</v>
      </c>
      <c r="V13" s="37">
        <v>-2.9999999999999997E-4</v>
      </c>
      <c r="W13" s="37">
        <v>0</v>
      </c>
      <c r="X13" s="37">
        <v>1E-3</v>
      </c>
      <c r="Y13" s="37">
        <v>1E-3</v>
      </c>
    </row>
    <row r="14" spans="2:25" x14ac:dyDescent="0.2">
      <c r="B14" s="36" t="str">
        <f t="shared" ref="B14:B16" si="3">B4</f>
        <v>Base</v>
      </c>
      <c r="D14" s="158">
        <v>-1.25E-3</v>
      </c>
      <c r="E14" s="37">
        <v>0</v>
      </c>
      <c r="F14" s="37">
        <v>-2.0000000000000001E-4</v>
      </c>
      <c r="G14" s="37">
        <v>0</v>
      </c>
      <c r="H14" s="37">
        <v>0</v>
      </c>
      <c r="I14" s="37">
        <v>0</v>
      </c>
      <c r="J14" s="37">
        <v>0</v>
      </c>
      <c r="K14" s="37">
        <v>5.0000000000000001E-4</v>
      </c>
      <c r="L14" s="37">
        <v>5.0000000000000001E-4</v>
      </c>
      <c r="M14" s="37">
        <v>5.0000000000000001E-4</v>
      </c>
      <c r="N14" s="37">
        <v>5.0000000000000001E-4</v>
      </c>
      <c r="O14" s="37">
        <v>2.5000000000000001E-4</v>
      </c>
      <c r="P14" s="37">
        <v>2.5000000000000001E-4</v>
      </c>
      <c r="T14" s="36" t="str">
        <f t="shared" ref="T14:T16" si="4">B4</f>
        <v>Base</v>
      </c>
      <c r="U14" s="119">
        <v>-1.2999999999999999E-3</v>
      </c>
      <c r="V14" s="37">
        <f>AVERAGE(U14,X14)</f>
        <v>-6.4999999999999997E-4</v>
      </c>
      <c r="W14" s="37">
        <f>AVERAGE(V14,Y14)</f>
        <v>-3.2499999999999999E-4</v>
      </c>
      <c r="X14" s="37">
        <v>0</v>
      </c>
      <c r="Y14" s="37">
        <v>0</v>
      </c>
    </row>
    <row r="15" spans="2:25" x14ac:dyDescent="0.2">
      <c r="B15" s="36" t="str">
        <f t="shared" si="3"/>
        <v>Bear</v>
      </c>
      <c r="D15" s="158">
        <v>-1E-3</v>
      </c>
      <c r="E15" s="37">
        <v>-1E-3</v>
      </c>
      <c r="F15" s="37">
        <v>-1E-3</v>
      </c>
      <c r="G15" s="37">
        <v>-1E-3</v>
      </c>
      <c r="H15" s="37">
        <v>-1E-3</v>
      </c>
      <c r="I15" s="37">
        <v>-1E-3</v>
      </c>
      <c r="J15" s="37">
        <v>-1E-3</v>
      </c>
      <c r="K15" s="37">
        <v>-1E-3</v>
      </c>
      <c r="L15" s="37">
        <v>-1E-3</v>
      </c>
      <c r="M15" s="37">
        <v>-1E-3</v>
      </c>
      <c r="N15" s="37">
        <v>-1E-3</v>
      </c>
      <c r="O15" s="37">
        <v>0</v>
      </c>
      <c r="P15" s="37">
        <v>0</v>
      </c>
      <c r="T15" s="36" t="str">
        <f t="shared" si="4"/>
        <v>Bear</v>
      </c>
      <c r="U15" s="119">
        <v>-2.5000000000000001E-3</v>
      </c>
      <c r="V15" s="37">
        <v>-2.5000000000000001E-3</v>
      </c>
      <c r="W15" s="37">
        <v>-2.5000000000000001E-3</v>
      </c>
      <c r="X15" s="37">
        <v>-2E-3</v>
      </c>
      <c r="Y15" s="37">
        <v>-2E-3</v>
      </c>
    </row>
    <row r="16" spans="2:25" x14ac:dyDescent="0.2">
      <c r="B16" s="36" t="str">
        <f t="shared" si="3"/>
        <v>Zero-Growth</v>
      </c>
      <c r="D16" s="158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T16" s="36" t="str">
        <f t="shared" si="4"/>
        <v>Zero-Growth</v>
      </c>
      <c r="U16" s="119">
        <v>-4.6000000000000001E-4</v>
      </c>
      <c r="V16" s="37">
        <v>0</v>
      </c>
      <c r="W16" s="37">
        <v>0</v>
      </c>
      <c r="X16" s="37">
        <v>0</v>
      </c>
      <c r="Y16" s="37">
        <v>0</v>
      </c>
    </row>
    <row r="17" spans="2:25" ht="15" x14ac:dyDescent="0.25">
      <c r="B17" s="116" t="s">
        <v>166</v>
      </c>
      <c r="D17" s="76" t="s">
        <v>48</v>
      </c>
      <c r="E17" s="75" t="s">
        <v>49</v>
      </c>
      <c r="F17" s="75" t="s">
        <v>50</v>
      </c>
      <c r="G17" s="75" t="s">
        <v>51</v>
      </c>
      <c r="H17" s="75" t="s">
        <v>52</v>
      </c>
      <c r="I17" s="75" t="s">
        <v>106</v>
      </c>
      <c r="J17" s="75" t="s">
        <v>107</v>
      </c>
      <c r="K17" s="75" t="s">
        <v>108</v>
      </c>
      <c r="L17" s="75" t="s">
        <v>109</v>
      </c>
      <c r="M17" s="75" t="s">
        <v>53</v>
      </c>
      <c r="N17" s="75" t="s">
        <v>54</v>
      </c>
      <c r="O17" s="75" t="s">
        <v>59</v>
      </c>
      <c r="P17" s="75" t="s">
        <v>60</v>
      </c>
      <c r="R17" s="116" t="s">
        <v>167</v>
      </c>
      <c r="S17" s="117"/>
      <c r="T17" s="118" t="s">
        <v>119</v>
      </c>
      <c r="U17" s="75" t="s">
        <v>95</v>
      </c>
      <c r="V17" s="75" t="s">
        <v>96</v>
      </c>
      <c r="W17" s="75" t="s">
        <v>99</v>
      </c>
      <c r="X17" s="75" t="s">
        <v>111</v>
      </c>
      <c r="Y17" s="75" t="s">
        <v>112</v>
      </c>
    </row>
    <row r="18" spans="2:25" x14ac:dyDescent="0.2">
      <c r="B18" s="36" t="str">
        <f>B3</f>
        <v>Bull</v>
      </c>
      <c r="D18" s="158">
        <v>2E-3</v>
      </c>
      <c r="E18" s="37">
        <v>2E-3</v>
      </c>
      <c r="F18" s="37">
        <v>2E-3</v>
      </c>
      <c r="G18" s="37">
        <v>2E-3</v>
      </c>
      <c r="H18" s="37">
        <v>2E-3</v>
      </c>
      <c r="I18" s="37">
        <v>2E-3</v>
      </c>
      <c r="J18" s="37">
        <v>2E-3</v>
      </c>
      <c r="K18" s="37">
        <v>2E-3</v>
      </c>
      <c r="L18" s="37">
        <v>2E-3</v>
      </c>
      <c r="M18" s="37">
        <v>2E-3</v>
      </c>
      <c r="N18" s="37">
        <v>2E-3</v>
      </c>
      <c r="O18" s="37">
        <v>0</v>
      </c>
      <c r="P18" s="37">
        <v>0</v>
      </c>
      <c r="T18" s="36" t="str">
        <f>B3</f>
        <v>Bull</v>
      </c>
      <c r="U18" s="119">
        <v>2E-3</v>
      </c>
      <c r="V18" s="37">
        <v>2E-3</v>
      </c>
      <c r="W18" s="37">
        <v>2E-3</v>
      </c>
      <c r="X18" s="37">
        <v>2E-3</v>
      </c>
      <c r="Y18" s="37">
        <v>2E-3</v>
      </c>
    </row>
    <row r="19" spans="2:25" x14ac:dyDescent="0.2">
      <c r="B19" s="36" t="str">
        <f t="shared" ref="B19:B21" si="5">B4</f>
        <v>Base</v>
      </c>
      <c r="D19" s="158">
        <v>3.0000000000000001E-3</v>
      </c>
      <c r="E19" s="37">
        <v>3.0000000000000001E-3</v>
      </c>
      <c r="F19" s="37">
        <v>3.0000000000000001E-3</v>
      </c>
      <c r="G19" s="37">
        <v>3.0000000000000001E-3</v>
      </c>
      <c r="H19" s="37">
        <v>3.0000000000000001E-3</v>
      </c>
      <c r="I19" s="37">
        <v>3.0000000000000001E-3</v>
      </c>
      <c r="J19" s="37">
        <v>3.0000000000000001E-3</v>
      </c>
      <c r="K19" s="37">
        <v>3.0000000000000001E-3</v>
      </c>
      <c r="L19" s="37">
        <v>3.0000000000000001E-3</v>
      </c>
      <c r="M19" s="37">
        <v>3.0000000000000001E-3</v>
      </c>
      <c r="N19" s="37">
        <v>3.0000000000000001E-3</v>
      </c>
      <c r="O19" s="37">
        <v>0</v>
      </c>
      <c r="P19" s="37">
        <v>0</v>
      </c>
      <c r="T19" s="36" t="str">
        <f t="shared" ref="T19:T21" si="6">B4</f>
        <v>Base</v>
      </c>
      <c r="U19" s="119">
        <v>3.0000000000000001E-3</v>
      </c>
      <c r="V19" s="37">
        <v>3.0000000000000001E-3</v>
      </c>
      <c r="W19" s="37">
        <v>3.0000000000000001E-3</v>
      </c>
      <c r="X19" s="37">
        <v>3.0000000000000001E-3</v>
      </c>
      <c r="Y19" s="37">
        <v>3.0000000000000001E-3</v>
      </c>
    </row>
    <row r="20" spans="2:25" x14ac:dyDescent="0.2">
      <c r="B20" s="36" t="str">
        <f t="shared" si="5"/>
        <v>Bear</v>
      </c>
      <c r="D20" s="158">
        <v>4.0000000000000001E-3</v>
      </c>
      <c r="E20" s="37">
        <v>4.0000000000000001E-3</v>
      </c>
      <c r="F20" s="37">
        <v>4.0000000000000001E-3</v>
      </c>
      <c r="G20" s="37">
        <v>4.0000000000000001E-3</v>
      </c>
      <c r="H20" s="37">
        <v>4.0000000000000001E-3</v>
      </c>
      <c r="I20" s="37">
        <v>4.0000000000000001E-3</v>
      </c>
      <c r="J20" s="37">
        <v>4.0000000000000001E-3</v>
      </c>
      <c r="K20" s="37">
        <v>4.0000000000000001E-3</v>
      </c>
      <c r="L20" s="37">
        <v>4.0000000000000001E-3</v>
      </c>
      <c r="M20" s="37">
        <v>4.0000000000000001E-3</v>
      </c>
      <c r="N20" s="37">
        <v>4.0000000000000001E-3</v>
      </c>
      <c r="O20" s="37">
        <v>4.0000000000000001E-3</v>
      </c>
      <c r="P20" s="37">
        <v>4.0000000000000001E-3</v>
      </c>
      <c r="T20" s="36" t="str">
        <f t="shared" si="6"/>
        <v>Bear</v>
      </c>
      <c r="U20" s="119">
        <v>4.0000000000000001E-3</v>
      </c>
      <c r="V20" s="37">
        <v>4.0000000000000001E-3</v>
      </c>
      <c r="W20" s="37">
        <v>4.0000000000000001E-3</v>
      </c>
      <c r="X20" s="37">
        <v>4.0000000000000001E-3</v>
      </c>
      <c r="Y20" s="37">
        <v>4.0000000000000001E-3</v>
      </c>
    </row>
    <row r="21" spans="2:25" x14ac:dyDescent="0.2">
      <c r="B21" s="36" t="str">
        <f t="shared" si="5"/>
        <v>Zero-Growth</v>
      </c>
      <c r="D21" s="158">
        <v>3.0000000000000001E-3</v>
      </c>
      <c r="E21" s="37">
        <v>3.0000000000000001E-3</v>
      </c>
      <c r="F21" s="37">
        <v>3.0000000000000001E-3</v>
      </c>
      <c r="G21" s="37">
        <v>3.0000000000000001E-3</v>
      </c>
      <c r="H21" s="37">
        <v>3.0000000000000001E-3</v>
      </c>
      <c r="I21" s="37">
        <v>3.0000000000000001E-3</v>
      </c>
      <c r="J21" s="37">
        <v>3.0000000000000001E-3</v>
      </c>
      <c r="K21" s="37">
        <v>3.0000000000000001E-3</v>
      </c>
      <c r="L21" s="37">
        <v>3.0000000000000001E-3</v>
      </c>
      <c r="M21" s="37">
        <v>3.0000000000000001E-3</v>
      </c>
      <c r="N21" s="37">
        <v>3.0000000000000001E-3</v>
      </c>
      <c r="T21" s="36" t="str">
        <f t="shared" si="6"/>
        <v>Zero-Growth</v>
      </c>
      <c r="U21" s="119">
        <v>3.0000000000000001E-3</v>
      </c>
      <c r="V21" s="37">
        <v>3.0000000000000001E-3</v>
      </c>
      <c r="W21" s="37">
        <v>3.0000000000000001E-3</v>
      </c>
      <c r="X21" s="37">
        <v>3.0000000000000001E-3</v>
      </c>
      <c r="Y21" s="37">
        <v>3.0000000000000001E-3</v>
      </c>
    </row>
    <row r="22" spans="2:25" ht="15" x14ac:dyDescent="0.25">
      <c r="R22" s="117"/>
      <c r="U22" s="120"/>
    </row>
    <row r="23" spans="2:25" x14ac:dyDescent="0.2">
      <c r="U23" s="119"/>
    </row>
  </sheetData>
  <pageMargins left="0.7" right="0.7" top="0.75" bottom="0.75" header="0.3" footer="0.3"/>
  <pageSetup scale="55" orientation="portrait" r:id="rId1"/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64BC-74CD-4C0F-8E11-B9D0ED1391CE}">
  <sheetPr>
    <pageSetUpPr fitToPage="1"/>
  </sheetPr>
  <dimension ref="B1:BC66"/>
  <sheetViews>
    <sheetView showGridLines="0" view="pageBreakPreview" zoomScale="91" zoomScaleNormal="33" zoomScaleSheetLayoutView="91" workbookViewId="0">
      <selection activeCell="AM5" sqref="AM5"/>
    </sheetView>
  </sheetViews>
  <sheetFormatPr defaultRowHeight="14.25" x14ac:dyDescent="0.2"/>
  <cols>
    <col min="1" max="1" width="9.140625" style="36"/>
    <col min="2" max="2" width="41.5703125" style="36" bestFit="1" customWidth="1"/>
    <col min="3" max="3" width="9.140625" style="36"/>
    <col min="4" max="7" width="0" style="36" hidden="1" customWidth="1"/>
    <col min="8" max="15" width="11.28515625" style="36" hidden="1" customWidth="1"/>
    <col min="16" max="16" width="13.28515625" style="36" bestFit="1" customWidth="1"/>
    <col min="17" max="17" width="14" style="36" bestFit="1" customWidth="1"/>
    <col min="18" max="19" width="13.28515625" style="36" bestFit="1" customWidth="1"/>
    <col min="20" max="20" width="10.42578125" style="36" bestFit="1" customWidth="1"/>
    <col min="21" max="22" width="9.7109375" style="36" bestFit="1" customWidth="1"/>
    <col min="23" max="23" width="9.7109375" style="36" customWidth="1"/>
    <col min="24" max="33" width="9.5703125" style="36" hidden="1" customWidth="1"/>
    <col min="34" max="34" width="9.140625" style="36"/>
    <col min="35" max="35" width="41.5703125" style="36" bestFit="1" customWidth="1"/>
    <col min="36" max="36" width="25" style="36" bestFit="1" customWidth="1"/>
    <col min="37" max="41" width="15.42578125" style="36" bestFit="1" customWidth="1"/>
    <col min="42" max="43" width="9.140625" style="36"/>
    <col min="44" max="44" width="22.28515625" style="36" bestFit="1" customWidth="1"/>
    <col min="45" max="45" width="30.7109375" style="36" customWidth="1"/>
    <col min="46" max="46" width="9.85546875" style="36" bestFit="1" customWidth="1"/>
    <col min="47" max="47" width="0.85546875" style="36" customWidth="1"/>
    <col min="48" max="48" width="9.85546875" style="36" bestFit="1" customWidth="1"/>
    <col min="49" max="49" width="0.85546875" style="36" customWidth="1"/>
    <col min="50" max="50" width="9.85546875" style="36" bestFit="1" customWidth="1"/>
    <col min="51" max="51" width="0.85546875" style="36" customWidth="1"/>
    <col min="52" max="52" width="9.7109375" style="36" bestFit="1" customWidth="1"/>
    <col min="53" max="53" width="0.85546875" style="36" customWidth="1"/>
    <col min="54" max="54" width="9.42578125" style="36" bestFit="1" customWidth="1"/>
    <col min="55" max="16384" width="9.140625" style="36"/>
  </cols>
  <sheetData>
    <row r="1" spans="2:55" x14ac:dyDescent="0.2">
      <c r="AR1" s="101"/>
    </row>
    <row r="2" spans="2:55" x14ac:dyDescent="0.2">
      <c r="B2" s="75"/>
      <c r="C2" s="75"/>
      <c r="D2" s="76" t="s">
        <v>61</v>
      </c>
      <c r="E2" s="76" t="s">
        <v>62</v>
      </c>
      <c r="F2" s="76" t="s">
        <v>63</v>
      </c>
      <c r="G2" s="76" t="s">
        <v>64</v>
      </c>
      <c r="H2" s="75" t="s">
        <v>35</v>
      </c>
      <c r="I2" s="75" t="s">
        <v>36</v>
      </c>
      <c r="J2" s="75" t="s">
        <v>37</v>
      </c>
      <c r="K2" s="75" t="s">
        <v>38</v>
      </c>
      <c r="L2" s="75" t="s">
        <v>39</v>
      </c>
      <c r="M2" s="75" t="s">
        <v>40</v>
      </c>
      <c r="N2" s="75" t="s">
        <v>41</v>
      </c>
      <c r="O2" s="75" t="s">
        <v>42</v>
      </c>
      <c r="P2" s="77" t="s">
        <v>43</v>
      </c>
      <c r="Q2" s="77" t="s">
        <v>44</v>
      </c>
      <c r="R2" s="77" t="s">
        <v>45</v>
      </c>
      <c r="S2" s="77" t="s">
        <v>46</v>
      </c>
      <c r="T2" s="77" t="s">
        <v>47</v>
      </c>
      <c r="U2" s="77" t="s">
        <v>48</v>
      </c>
      <c r="V2" s="78" t="s">
        <v>49</v>
      </c>
      <c r="W2" s="78" t="s">
        <v>50</v>
      </c>
      <c r="X2" s="102" t="s">
        <v>51</v>
      </c>
      <c r="Y2" s="102" t="s">
        <v>52</v>
      </c>
      <c r="Z2" s="102" t="s">
        <v>106</v>
      </c>
      <c r="AA2" s="102" t="s">
        <v>107</v>
      </c>
      <c r="AB2" s="102" t="s">
        <v>108</v>
      </c>
      <c r="AC2" s="102" t="s">
        <v>109</v>
      </c>
      <c r="AD2" s="102" t="s">
        <v>53</v>
      </c>
      <c r="AE2" s="102" t="s">
        <v>54</v>
      </c>
      <c r="AF2" s="102" t="s">
        <v>55</v>
      </c>
      <c r="AG2" s="102" t="s">
        <v>56</v>
      </c>
      <c r="AX2" s="36" t="s">
        <v>192</v>
      </c>
    </row>
    <row r="3" spans="2:55" ht="15" x14ac:dyDescent="0.25">
      <c r="B3" s="36" t="s">
        <v>14</v>
      </c>
      <c r="C3" s="55"/>
      <c r="D3" s="190">
        <v>3972</v>
      </c>
      <c r="E3" s="190">
        <v>4182</v>
      </c>
      <c r="F3" s="190">
        <v>4327</v>
      </c>
      <c r="G3" s="190">
        <v>6205</v>
      </c>
      <c r="H3" s="191">
        <v>3972</v>
      </c>
      <c r="I3" s="191">
        <v>4182</v>
      </c>
      <c r="J3" s="191">
        <v>4327</v>
      </c>
      <c r="K3" s="191">
        <v>6205</v>
      </c>
      <c r="L3" s="192">
        <v>3815</v>
      </c>
      <c r="M3" s="192">
        <v>4147</v>
      </c>
      <c r="N3" s="192">
        <v>4312</v>
      </c>
      <c r="O3" s="192">
        <v>6762</v>
      </c>
      <c r="P3" s="193">
        <v>3953</v>
      </c>
      <c r="Q3" s="193">
        <v>4310</v>
      </c>
      <c r="R3" s="193">
        <v>4369</v>
      </c>
      <c r="S3" s="193">
        <v>6535</v>
      </c>
      <c r="T3" s="193">
        <v>3821</v>
      </c>
      <c r="U3" s="181">
        <v>4169</v>
      </c>
      <c r="V3" s="122">
        <f t="shared" ref="V3:AA3" ca="1" si="0">R3*(1+V34)</f>
        <v>4500.07</v>
      </c>
      <c r="W3" s="122">
        <f t="shared" ca="1" si="0"/>
        <v>6731.05</v>
      </c>
      <c r="X3" s="79">
        <f t="shared" ca="1" si="0"/>
        <v>3897.42</v>
      </c>
      <c r="Y3" s="79">
        <f t="shared" ca="1" si="0"/>
        <v>4252.38</v>
      </c>
      <c r="Z3" s="79">
        <f t="shared" ca="1" si="0"/>
        <v>4567.5710499999996</v>
      </c>
      <c r="AA3" s="79">
        <f t="shared" ca="1" si="0"/>
        <v>6865.6710000000003</v>
      </c>
      <c r="AB3" s="79"/>
      <c r="AC3" s="79">
        <f ca="1">Y3*(1+AC34)</f>
        <v>4316.1656999999996</v>
      </c>
      <c r="AD3" s="79">
        <f ca="1">Z3*(1+AD34)</f>
        <v>4636.0846157499991</v>
      </c>
      <c r="AE3" s="79">
        <f ca="1">AA3*(1+AE34)</f>
        <v>6968.6560649999992</v>
      </c>
      <c r="AF3" s="79">
        <f ca="1">AB3*(1+AF34)</f>
        <v>0</v>
      </c>
      <c r="AG3" s="79">
        <f ca="1">AC3*(1+AG34)</f>
        <v>4316.1656999999996</v>
      </c>
      <c r="AJ3" s="214" t="s">
        <v>72</v>
      </c>
      <c r="AK3" s="215" t="s">
        <v>69</v>
      </c>
      <c r="AL3" s="55"/>
      <c r="AM3" s="55"/>
      <c r="AN3" s="55"/>
      <c r="AS3" s="131"/>
    </row>
    <row r="4" spans="2:55" ht="15" x14ac:dyDescent="0.25">
      <c r="B4" s="36" t="s">
        <v>33</v>
      </c>
      <c r="C4" s="55"/>
      <c r="D4" s="190">
        <v>0</v>
      </c>
      <c r="E4" s="190">
        <v>0</v>
      </c>
      <c r="F4" s="190">
        <v>0</v>
      </c>
      <c r="G4" s="190">
        <v>0</v>
      </c>
      <c r="L4" s="192">
        <v>250</v>
      </c>
      <c r="M4" s="192">
        <v>248</v>
      </c>
      <c r="N4" s="192">
        <v>255</v>
      </c>
      <c r="O4" s="192">
        <v>295</v>
      </c>
      <c r="P4" s="192">
        <v>255</v>
      </c>
      <c r="Q4" s="192">
        <v>260</v>
      </c>
      <c r="R4" s="192">
        <v>259</v>
      </c>
      <c r="S4" s="192">
        <v>288</v>
      </c>
      <c r="T4" s="192">
        <v>266</v>
      </c>
      <c r="U4" s="194">
        <v>261</v>
      </c>
      <c r="V4" s="36">
        <f t="shared" ref="V4:AG4" si="1">R4*(1+V35)</f>
        <v>259</v>
      </c>
      <c r="W4" s="36">
        <f t="shared" si="1"/>
        <v>288</v>
      </c>
      <c r="X4" s="36">
        <f t="shared" si="1"/>
        <v>266</v>
      </c>
      <c r="Y4" s="36">
        <f t="shared" si="1"/>
        <v>261</v>
      </c>
      <c r="Z4" s="36">
        <f t="shared" si="1"/>
        <v>259</v>
      </c>
      <c r="AA4" s="36">
        <f t="shared" si="1"/>
        <v>288</v>
      </c>
      <c r="AB4" s="36">
        <f t="shared" si="1"/>
        <v>266</v>
      </c>
      <c r="AC4" s="36">
        <f t="shared" si="1"/>
        <v>261</v>
      </c>
      <c r="AD4" s="36">
        <f t="shared" si="1"/>
        <v>259</v>
      </c>
      <c r="AE4" s="36">
        <f t="shared" si="1"/>
        <v>288</v>
      </c>
      <c r="AF4" s="36">
        <f t="shared" si="1"/>
        <v>266</v>
      </c>
      <c r="AG4" s="36">
        <f t="shared" si="1"/>
        <v>261</v>
      </c>
      <c r="AI4" s="87"/>
      <c r="AJ4" s="214" t="s">
        <v>73</v>
      </c>
      <c r="AK4" s="215" t="s">
        <v>69</v>
      </c>
      <c r="AL4" s="55"/>
      <c r="AS4" s="131"/>
      <c r="AT4" s="165" t="s">
        <v>164</v>
      </c>
      <c r="AU4" s="165"/>
      <c r="AV4" s="165"/>
      <c r="AW4" s="165"/>
      <c r="AX4" s="165"/>
      <c r="AY4" s="165"/>
      <c r="AZ4" s="165"/>
      <c r="BA4" s="165"/>
      <c r="BB4" s="165"/>
    </row>
    <row r="5" spans="2:55" ht="15" x14ac:dyDescent="0.25">
      <c r="B5" s="55" t="s">
        <v>34</v>
      </c>
      <c r="C5" s="55"/>
      <c r="D5" s="80">
        <f t="shared" ref="D5:AA5" si="2">SUM(D3:D4)</f>
        <v>3972</v>
      </c>
      <c r="E5" s="80">
        <f t="shared" si="2"/>
        <v>4182</v>
      </c>
      <c r="F5" s="80">
        <f t="shared" si="2"/>
        <v>4327</v>
      </c>
      <c r="G5" s="80">
        <f t="shared" si="2"/>
        <v>6205</v>
      </c>
      <c r="H5" s="81">
        <f t="shared" si="2"/>
        <v>3972</v>
      </c>
      <c r="I5" s="81">
        <f t="shared" si="2"/>
        <v>4182</v>
      </c>
      <c r="J5" s="81">
        <f t="shared" si="2"/>
        <v>4327</v>
      </c>
      <c r="K5" s="81">
        <f t="shared" si="2"/>
        <v>6205</v>
      </c>
      <c r="L5" s="81">
        <f t="shared" si="2"/>
        <v>4065</v>
      </c>
      <c r="M5" s="81">
        <f t="shared" si="2"/>
        <v>4395</v>
      </c>
      <c r="N5" s="81">
        <f t="shared" si="2"/>
        <v>4567</v>
      </c>
      <c r="O5" s="81">
        <f t="shared" si="2"/>
        <v>7057</v>
      </c>
      <c r="P5" s="179">
        <f t="shared" si="2"/>
        <v>4208</v>
      </c>
      <c r="Q5" s="179">
        <f t="shared" si="2"/>
        <v>4570</v>
      </c>
      <c r="R5" s="179">
        <f t="shared" si="2"/>
        <v>4628</v>
      </c>
      <c r="S5" s="179">
        <f t="shared" si="2"/>
        <v>6823</v>
      </c>
      <c r="T5" s="179">
        <f t="shared" si="2"/>
        <v>4087</v>
      </c>
      <c r="U5" s="180">
        <f t="shared" si="2"/>
        <v>4430</v>
      </c>
      <c r="V5" s="180">
        <f t="shared" ca="1" si="2"/>
        <v>4759.07</v>
      </c>
      <c r="W5" s="180">
        <f t="shared" ca="1" si="2"/>
        <v>7019.05</v>
      </c>
      <c r="X5" s="82">
        <f t="shared" ca="1" si="2"/>
        <v>4163.42</v>
      </c>
      <c r="Y5" s="82">
        <f t="shared" ca="1" si="2"/>
        <v>4513.38</v>
      </c>
      <c r="Z5" s="82">
        <f t="shared" ca="1" si="2"/>
        <v>4826.5710499999996</v>
      </c>
      <c r="AA5" s="82">
        <f t="shared" ca="1" si="2"/>
        <v>7153.6710000000003</v>
      </c>
      <c r="AB5" s="82">
        <f t="shared" ref="AB5" si="3">SUM(AB3:AB4)</f>
        <v>266</v>
      </c>
      <c r="AC5" s="82">
        <f ca="1">SUM(AC3:AC4)</f>
        <v>4577.1656999999996</v>
      </c>
      <c r="AD5" s="82">
        <f ca="1">SUM(AD3:AD4)</f>
        <v>4895.0846157499991</v>
      </c>
      <c r="AE5" s="82">
        <f ca="1">SUM(AE3:AE4)</f>
        <v>7256.6560649999992</v>
      </c>
      <c r="AF5" s="82">
        <f ca="1">SUM(AF3:AF4)</f>
        <v>266</v>
      </c>
      <c r="AG5" s="82">
        <f ca="1">SUM(AG3:AG4)</f>
        <v>4577.1656999999996</v>
      </c>
      <c r="AJ5" s="214" t="s">
        <v>74</v>
      </c>
      <c r="AK5" s="215" t="s">
        <v>69</v>
      </c>
      <c r="AL5" s="55"/>
      <c r="AM5" s="55"/>
      <c r="AN5" s="55"/>
      <c r="AS5" s="132" t="s">
        <v>117</v>
      </c>
      <c r="AT5" s="133" t="s">
        <v>95</v>
      </c>
      <c r="AU5" s="134"/>
      <c r="AV5" s="133" t="s">
        <v>96</v>
      </c>
      <c r="AW5" s="134"/>
      <c r="AX5" s="133" t="s">
        <v>99</v>
      </c>
      <c r="AY5" s="134"/>
      <c r="AZ5" s="133" t="s">
        <v>111</v>
      </c>
      <c r="BA5" s="134"/>
      <c r="BB5" s="133" t="s">
        <v>112</v>
      </c>
    </row>
    <row r="6" spans="2:55" ht="15" x14ac:dyDescent="0.25">
      <c r="B6" s="36" t="s">
        <v>0</v>
      </c>
      <c r="D6" s="190">
        <v>2560</v>
      </c>
      <c r="E6" s="190">
        <v>2532</v>
      </c>
      <c r="F6" s="190">
        <v>2720</v>
      </c>
      <c r="G6" s="83">
        <f>G3-G7</f>
        <v>4132</v>
      </c>
      <c r="H6" s="192">
        <v>2560</v>
      </c>
      <c r="I6" s="192">
        <v>2532</v>
      </c>
      <c r="J6" s="192">
        <v>2720</v>
      </c>
      <c r="K6" s="192">
        <v>4133</v>
      </c>
      <c r="L6" s="192">
        <v>2428</v>
      </c>
      <c r="M6" s="192">
        <v>2525</v>
      </c>
      <c r="N6" s="192">
        <v>2727</v>
      </c>
      <c r="O6" s="192">
        <v>4497</v>
      </c>
      <c r="P6" s="192">
        <v>2496</v>
      </c>
      <c r="Q6" s="192">
        <v>2605</v>
      </c>
      <c r="R6" s="192">
        <v>2752</v>
      </c>
      <c r="S6" s="192">
        <v>4345</v>
      </c>
      <c r="T6" s="192">
        <v>2415</v>
      </c>
      <c r="U6" s="194">
        <v>2550</v>
      </c>
      <c r="V6" s="79">
        <f t="shared" ref="V6:AG6" ca="1" si="4">V5-V7</f>
        <v>2829.939636992221</v>
      </c>
      <c r="W6" s="79">
        <f t="shared" ca="1" si="4"/>
        <v>4471.2517141477356</v>
      </c>
      <c r="X6" s="79">
        <f t="shared" ca="1" si="4"/>
        <v>2460.1564228040124</v>
      </c>
      <c r="Y6" s="79">
        <f t="shared" ca="1" si="4"/>
        <v>2597.9952595936793</v>
      </c>
      <c r="Z6" s="79">
        <f t="shared" ca="1" si="4"/>
        <v>2870.0785500432148</v>
      </c>
      <c r="AA6" s="79">
        <f t="shared" ca="1" si="4"/>
        <v>4557.0075325291809</v>
      </c>
      <c r="AB6" s="79">
        <f t="shared" ca="1" si="4"/>
        <v>157.04585979936383</v>
      </c>
      <c r="AC6" s="79">
        <f t="shared" ca="1" si="4"/>
        <v>2632.423050332844</v>
      </c>
      <c r="AD6" s="79">
        <f t="shared" ca="1" si="4"/>
        <v>2908.3720044820984</v>
      </c>
      <c r="AE6" s="79">
        <f t="shared" ca="1" si="4"/>
        <v>4618.9824055584859</v>
      </c>
      <c r="AF6" s="79">
        <f t="shared" ca="1" si="4"/>
        <v>156.97935979936383</v>
      </c>
      <c r="AG6" s="79">
        <f t="shared" ca="1" si="4"/>
        <v>2631.2787589078443</v>
      </c>
      <c r="AP6"/>
      <c r="AQ6"/>
      <c r="AS6" s="131" t="s">
        <v>14</v>
      </c>
      <c r="AT6" s="183">
        <v>19362.12</v>
      </c>
      <c r="AU6" s="183"/>
      <c r="AV6" s="183">
        <v>19555.7412</v>
      </c>
      <c r="AW6" s="183"/>
      <c r="AX6" s="183">
        <v>19751.298612000002</v>
      </c>
      <c r="AY6" s="183"/>
      <c r="AZ6" s="183">
        <v>19899.433351590003</v>
      </c>
      <c r="BA6" s="183"/>
      <c r="BB6" s="183">
        <v>19998.930518347952</v>
      </c>
    </row>
    <row r="7" spans="2:55" ht="15" x14ac:dyDescent="0.25">
      <c r="B7" s="55" t="s">
        <v>1</v>
      </c>
      <c r="C7" s="55"/>
      <c r="D7" s="80">
        <f>D3-D6</f>
        <v>1412</v>
      </c>
      <c r="E7" s="80">
        <f>E3-E6</f>
        <v>1650</v>
      </c>
      <c r="F7" s="80">
        <f>F3-F6</f>
        <v>1607</v>
      </c>
      <c r="G7" s="80">
        <f>6742-F7-E7-D7</f>
        <v>2073</v>
      </c>
      <c r="H7" s="81">
        <f>H5-H6</f>
        <v>1412</v>
      </c>
      <c r="I7" s="81">
        <f>I5-I6</f>
        <v>1650</v>
      </c>
      <c r="J7" s="81">
        <f>J5-J6</f>
        <v>1607</v>
      </c>
      <c r="K7" s="81">
        <f>K5-K6</f>
        <v>2072</v>
      </c>
      <c r="L7" s="81">
        <f t="shared" ref="L7" si="5">L5-L6</f>
        <v>1637</v>
      </c>
      <c r="M7" s="81">
        <f t="shared" ref="M7" si="6">M5-M6</f>
        <v>1870</v>
      </c>
      <c r="N7" s="81">
        <f t="shared" ref="N7" si="7">N5-N6</f>
        <v>1840</v>
      </c>
      <c r="O7" s="81">
        <f t="shared" ref="O7" si="8">O5-O6</f>
        <v>2560</v>
      </c>
      <c r="P7" s="179">
        <f t="shared" ref="P7" si="9">P5-P6</f>
        <v>1712</v>
      </c>
      <c r="Q7" s="179">
        <f t="shared" ref="Q7" si="10">Q5-Q6</f>
        <v>1965</v>
      </c>
      <c r="R7" s="179">
        <f t="shared" ref="R7:S7" si="11">R5-R6</f>
        <v>1876</v>
      </c>
      <c r="S7" s="179">
        <f t="shared" si="11"/>
        <v>2478</v>
      </c>
      <c r="T7" s="180">
        <f>T5-T6</f>
        <v>1672</v>
      </c>
      <c r="U7" s="180">
        <f>U5-U6</f>
        <v>1880</v>
      </c>
      <c r="V7" s="180">
        <f t="shared" ref="V7:AG7" ca="1" si="12">V5*V8</f>
        <v>1929.1303630077787</v>
      </c>
      <c r="W7" s="180">
        <f t="shared" ca="1" si="12"/>
        <v>2547.7982858522646</v>
      </c>
      <c r="X7" s="82">
        <f t="shared" ca="1" si="12"/>
        <v>1703.2635771959874</v>
      </c>
      <c r="Y7" s="82">
        <f t="shared" ca="1" si="12"/>
        <v>1915.3847404063206</v>
      </c>
      <c r="Z7" s="82">
        <f t="shared" ca="1" si="12"/>
        <v>1956.4924999567845</v>
      </c>
      <c r="AA7" s="82">
        <f t="shared" ca="1" si="12"/>
        <v>2596.6634674708193</v>
      </c>
      <c r="AB7" s="82">
        <f t="shared" ca="1" si="12"/>
        <v>108.95414020063617</v>
      </c>
      <c r="AC7" s="82">
        <f t="shared" ca="1" si="12"/>
        <v>1944.7426496671555</v>
      </c>
      <c r="AD7" s="82">
        <f t="shared" ca="1" si="12"/>
        <v>1986.7126112679005</v>
      </c>
      <c r="AE7" s="82">
        <f t="shared" ca="1" si="12"/>
        <v>2637.6736594415133</v>
      </c>
      <c r="AF7" s="82">
        <f t="shared" ca="1" si="12"/>
        <v>109.02064020063617</v>
      </c>
      <c r="AG7" s="82">
        <f t="shared" ca="1" si="12"/>
        <v>1945.8869410921554</v>
      </c>
      <c r="AJ7" s="102" t="s">
        <v>110</v>
      </c>
      <c r="AK7" s="102" t="s">
        <v>95</v>
      </c>
      <c r="AL7" s="102" t="s">
        <v>96</v>
      </c>
      <c r="AM7" s="102" t="s">
        <v>99</v>
      </c>
      <c r="AN7" s="102" t="s">
        <v>111</v>
      </c>
      <c r="AO7" s="102" t="s">
        <v>112</v>
      </c>
      <c r="AP7"/>
      <c r="AQ7"/>
      <c r="AS7" s="131" t="s">
        <v>33</v>
      </c>
      <c r="AT7" s="184">
        <v>1073</v>
      </c>
      <c r="AU7" s="184"/>
      <c r="AV7" s="186">
        <v>1083.73</v>
      </c>
      <c r="AW7" s="186"/>
      <c r="AX7" s="186">
        <v>1094.5672999999999</v>
      </c>
      <c r="AY7" s="186"/>
      <c r="AZ7" s="186">
        <v>1102.7765547500001</v>
      </c>
      <c r="BA7" s="186"/>
      <c r="BB7" s="186">
        <v>1108.2904375237499</v>
      </c>
    </row>
    <row r="8" spans="2:55" ht="15" x14ac:dyDescent="0.25">
      <c r="B8" s="84" t="s">
        <v>2</v>
      </c>
      <c r="C8" s="85"/>
      <c r="D8" s="86">
        <f>D7/D3</f>
        <v>0.35548841893252769</v>
      </c>
      <c r="E8" s="86">
        <f>E7/E3</f>
        <v>0.39454806312769009</v>
      </c>
      <c r="F8" s="86">
        <f>F7/F3</f>
        <v>0.37138895308527847</v>
      </c>
      <c r="G8" s="86">
        <f>G7/G3</f>
        <v>0.334085414987913</v>
      </c>
      <c r="H8" s="87">
        <f t="shared" ref="H8:T8" si="13">H7/H5</f>
        <v>0.35548841893252769</v>
      </c>
      <c r="I8" s="87">
        <f t="shared" si="13"/>
        <v>0.39454806312769009</v>
      </c>
      <c r="J8" s="87">
        <f t="shared" si="13"/>
        <v>0.37138895308527847</v>
      </c>
      <c r="K8" s="87">
        <f t="shared" si="13"/>
        <v>0.33392425463336017</v>
      </c>
      <c r="L8" s="87">
        <f t="shared" si="13"/>
        <v>0.40270602706027059</v>
      </c>
      <c r="M8" s="87">
        <f t="shared" si="13"/>
        <v>0.42548350398179752</v>
      </c>
      <c r="N8" s="87">
        <f t="shared" si="13"/>
        <v>0.40289029997810377</v>
      </c>
      <c r="O8" s="87">
        <f t="shared" si="13"/>
        <v>0.36276037976477254</v>
      </c>
      <c r="P8" s="87">
        <f t="shared" si="13"/>
        <v>0.40684410646387831</v>
      </c>
      <c r="Q8" s="87">
        <f t="shared" si="13"/>
        <v>0.4299781181619256</v>
      </c>
      <c r="R8" s="87">
        <f t="shared" si="13"/>
        <v>0.40535868625756266</v>
      </c>
      <c r="S8" s="87">
        <f t="shared" si="13"/>
        <v>0.36318335043236111</v>
      </c>
      <c r="T8" s="87">
        <f t="shared" si="13"/>
        <v>0.40910203082945928</v>
      </c>
      <c r="U8" s="87">
        <f>U7/U5</f>
        <v>0.42437923250564336</v>
      </c>
      <c r="V8" s="87">
        <f ca="1">R8+OFFSET(Assumptions!E12,_xlfn.IFS($AK$5="Bull",1,$AK$5="Base",2,$AK$5="Bear",3,$AK$5="Zero-Growth",4),0)</f>
        <v>0.40535868625756266</v>
      </c>
      <c r="W8" s="87">
        <f ca="1">S8+OFFSET(Assumptions!F12,_xlfn.IFS($AK$5="Bull",1,$AK$5="Base",2,$AK$5="Bear",3,$AK$5="Zero-Growth",4),0)</f>
        <v>0.36298335043236113</v>
      </c>
      <c r="X8" s="87">
        <f ca="1">T8+OFFSET(Assumptions!G12,_xlfn.IFS($AK$5="Bull",1,$AK$5="Base",2,$AK$5="Bear",3,$AK$5="Zero-Growth",4),0)</f>
        <v>0.40910203082945928</v>
      </c>
      <c r="Y8" s="87">
        <f ca="1">U8+OFFSET(Assumptions!H12,_xlfn.IFS($AK$5="Bull",1,$AK$5="Base",2,$AK$5="Bear",3,$AK$5="Zero-Growth",4),0)</f>
        <v>0.42437923250564336</v>
      </c>
      <c r="Z8" s="87">
        <f ca="1">V8+OFFSET(Assumptions!I12,_xlfn.IFS($AK$5="Bull",1,$AK$5="Base",2,$AK$5="Bear",3,$AK$5="Zero-Growth",4),0)</f>
        <v>0.40535868625756266</v>
      </c>
      <c r="AA8" s="87">
        <f ca="1">W8+OFFSET(Assumptions!J12,_xlfn.IFS($AK$5="Bull",1,$AK$5="Base",2,$AK$5="Bear",3,$AK$5="Zero-Growth",4),0)</f>
        <v>0.36298335043236113</v>
      </c>
      <c r="AB8" s="87">
        <f ca="1">X8+OFFSET(Assumptions!K12,_xlfn.IFS($AK$5="Bull",1,$AK$5="Base",2,$AK$5="Bear",3,$AK$5="Zero-Growth",4),0)</f>
        <v>0.40960203082945928</v>
      </c>
      <c r="AC8" s="87">
        <f ca="1">Y8+OFFSET(Assumptions!L12,_xlfn.IFS($AK$5="Bull",1,$AK$5="Base",2,$AK$5="Bear",3,$AK$5="Zero-Growth",4),0)</f>
        <v>0.42487923250564336</v>
      </c>
      <c r="AD8" s="87">
        <f ca="1">Z8+OFFSET(Assumptions!M12,_xlfn.IFS($AK$5="Bull",1,$AK$5="Base",2,$AK$5="Bear",3,$AK$5="Zero-Growth",4),0)</f>
        <v>0.40585868625756266</v>
      </c>
      <c r="AE8" s="87">
        <f ca="1">AA8+OFFSET(Assumptions!N12,_xlfn.IFS($AK$5="Bull",1,$AK$5="Base",2,$AK$5="Bear",3,$AK$5="Zero-Growth",4),0)</f>
        <v>0.36348335043236113</v>
      </c>
      <c r="AF8" s="87">
        <f ca="1">AB8+OFFSET(Assumptions!O12,_xlfn.IFS($AK$5="Bull",1,$AK$5="Base",2,$AK$5="Bear",3),0)</f>
        <v>0.40985203082945926</v>
      </c>
      <c r="AG8" s="87">
        <f ca="1">AC8+OFFSET(Assumptions!P12,_xlfn.IFS($AK$5="Bull",1,$AK$5="Base",2,$AK$5="Bear",3),0)</f>
        <v>0.42512923250564333</v>
      </c>
      <c r="AI8" s="36" t="s">
        <v>14</v>
      </c>
      <c r="AJ8" s="122">
        <f>SUM(P3:S3)</f>
        <v>19167</v>
      </c>
      <c r="AK8" s="122">
        <f ca="1">SUM(T3:W3)</f>
        <v>19221.12</v>
      </c>
      <c r="AL8" s="122">
        <f ca="1">(1+OFFSET(Assumptions!V2,_xlfn.IFS($AK$3="Bull",1,$AK$3="Base",2,$AK$3="Bear",3,$AK$3="Zero-Growth",4),0))*AK8</f>
        <v>19413.331200000001</v>
      </c>
      <c r="AM8" s="122">
        <f ca="1">(1+OFFSET(Assumptions!W2,_xlfn.IFS($AK$3="Bull",1,$AK$3="Base",2,$AK$3="Bear",3,$AK$3="Zero-Growth",4),0))*AL8</f>
        <v>19607.464512000002</v>
      </c>
      <c r="AN8" s="122">
        <f ca="1">(1+OFFSET(Assumptions!X2,_xlfn.IFS($AK$3="Bull",1,$AK$3="Base",2,$AK$3="Bear",3,$AK$3="Zero-Growth",4),0))*AM8</f>
        <v>19754.520495840003</v>
      </c>
      <c r="AO8" s="122">
        <f ca="1">(1+OFFSET(Assumptions!Y2,_xlfn.IFS($AK$3="Bull",1,$AK$3="Base",2,$AK$3="Bear",3,$AK$3="Zero-Growth",4),0))*AN8</f>
        <v>19853.293098319202</v>
      </c>
      <c r="AP8"/>
      <c r="AQ8"/>
      <c r="AS8" s="135" t="s">
        <v>156</v>
      </c>
      <c r="AT8" s="185">
        <v>20435.12</v>
      </c>
      <c r="AU8" s="185"/>
      <c r="AV8" s="185">
        <v>20639.4712</v>
      </c>
      <c r="AW8" s="185"/>
      <c r="AX8" s="185">
        <v>20845.865912000001</v>
      </c>
      <c r="AY8" s="185"/>
      <c r="AZ8" s="185">
        <v>21002.209906340002</v>
      </c>
      <c r="BA8" s="185"/>
      <c r="BB8" s="185">
        <v>21107.2209558717</v>
      </c>
    </row>
    <row r="9" spans="2:55" x14ac:dyDescent="0.2">
      <c r="B9" s="84"/>
      <c r="C9" s="85"/>
      <c r="D9" s="86"/>
      <c r="E9" s="86"/>
      <c r="F9" s="86"/>
      <c r="G9" s="86"/>
      <c r="AI9" s="36" t="s">
        <v>33</v>
      </c>
      <c r="AJ9" s="79">
        <f>SUM(P4:S4)</f>
        <v>1062</v>
      </c>
      <c r="AK9" s="79">
        <f>SUM(T4:W4)</f>
        <v>1074</v>
      </c>
      <c r="AL9" s="79">
        <f ca="1">(1+OFFSET(Assumptions!V2,_xlfn.IFS($AK$3="Bull",1,$AK$3="Base",2,$AK$3="Bear",3,$AK$3="Zero-Growth",4),0))*AK9</f>
        <v>1084.74</v>
      </c>
      <c r="AM9" s="79">
        <f ca="1">(1+OFFSET(Assumptions!W2,_xlfn.IFS($AK$3="Bull",1,$AK$3="Base",2,$AK$3="Bear",3,$AK$3="Zero-Growth",4),0))*AL9</f>
        <v>1095.5874000000001</v>
      </c>
      <c r="AN9" s="79">
        <f ca="1">(1+OFFSET(Assumptions!X2,_xlfn.IFS($AK$3="Bull",1,$AK$3="Base",2,$AK$3="Bear",3,$AK$3="Zero-Growth",4),0))*AM9</f>
        <v>1103.8043055000003</v>
      </c>
      <c r="AO9" s="79">
        <f ca="1">(1+OFFSET(Assumptions!Y2,_xlfn.IFS($AK$3="Bull",1,$AK$3="Base",2,$AK$3="Bear",3,$AK$3="Zero-Growth",4),0))*AN9</f>
        <v>1109.3233270275002</v>
      </c>
      <c r="AS9" s="136" t="s">
        <v>157</v>
      </c>
      <c r="AT9" s="137">
        <v>3.2685748183300944E-3</v>
      </c>
      <c r="AU9" s="137"/>
      <c r="AV9" s="137">
        <v>1.0000000000000009E-2</v>
      </c>
      <c r="AW9" s="137"/>
      <c r="AX9" s="137">
        <v>1.0000000000000009E-2</v>
      </c>
      <c r="AY9" s="137"/>
      <c r="AZ9" s="137">
        <v>7.5000000000000622E-3</v>
      </c>
      <c r="BA9" s="137"/>
      <c r="BB9" s="137">
        <v>4.9999999999998934E-3</v>
      </c>
    </row>
    <row r="10" spans="2:55" ht="15" x14ac:dyDescent="0.25">
      <c r="B10" s="36" t="s">
        <v>3</v>
      </c>
      <c r="D10" s="83"/>
      <c r="E10" s="83"/>
      <c r="F10" s="83"/>
      <c r="G10" s="83"/>
      <c r="AI10" s="55" t="s">
        <v>34</v>
      </c>
      <c r="AJ10" s="180">
        <f>SUM(P5:S5)</f>
        <v>20229</v>
      </c>
      <c r="AK10" s="180">
        <f ca="1">SUM(AK8:AK9)</f>
        <v>20295.12</v>
      </c>
      <c r="AL10" s="180">
        <f ca="1">(1+OFFSET(Assumptions!V2,_xlfn.IFS($AK$3="Bull",1,$AK$3="Base",2,$AK$3="Bear",3,$AK$3="Zero-Growth",4),0))*AK10</f>
        <v>20498.071199999998</v>
      </c>
      <c r="AM10" s="180">
        <f ca="1">(1+OFFSET(Assumptions!W2,_xlfn.IFS($AK$3="Bull",1,$AK$3="Base",2,$AK$3="Bear",3,$AK$3="Zero-Growth",4),0))*AL10</f>
        <v>20703.051911999999</v>
      </c>
      <c r="AN10" s="180">
        <f ca="1">(1+OFFSET(Assumptions!X2,_xlfn.IFS($AK$3="Bull",1,$AK$3="Base",2,$AK$3="Bear",3,$AK$3="Zero-Growth",4),0))*AM10</f>
        <v>20858.324801340001</v>
      </c>
      <c r="AO10" s="180">
        <f ca="1">(1+OFFSET(Assumptions!Y2,_xlfn.IFS($AK$3="Bull",1,$AK$3="Base",2,$AK$3="Bear",3,$AK$3="Zero-Growth",4),0))*AN10</f>
        <v>20962.6164253467</v>
      </c>
      <c r="AS10" s="131" t="s">
        <v>0</v>
      </c>
      <c r="AT10" s="187">
        <v>12326.903851139956</v>
      </c>
      <c r="AU10" s="187"/>
      <c r="AV10" s="187">
        <v>12463.588545931356</v>
      </c>
      <c r="AW10" s="187"/>
      <c r="AX10" s="187">
        <v>12594.999337812071</v>
      </c>
      <c r="AY10" s="187"/>
      <c r="AZ10" s="187">
        <v>12689.461832845662</v>
      </c>
      <c r="BA10" s="187"/>
      <c r="BB10" s="187">
        <v>12752.909142009888</v>
      </c>
      <c r="BC10" s="79"/>
    </row>
    <row r="11" spans="2:55" ht="15" x14ac:dyDescent="0.25">
      <c r="B11" s="88" t="s">
        <v>4</v>
      </c>
      <c r="D11" s="190">
        <v>1008</v>
      </c>
      <c r="E11" s="190">
        <v>987</v>
      </c>
      <c r="F11" s="190">
        <v>1080</v>
      </c>
      <c r="G11" s="190">
        <v>1360</v>
      </c>
      <c r="H11" s="195">
        <v>1008</v>
      </c>
      <c r="I11" s="195">
        <v>986</v>
      </c>
      <c r="J11" s="195">
        <v>1080</v>
      </c>
      <c r="K11" s="195">
        <v>1360</v>
      </c>
      <c r="L11" s="195">
        <v>1214</v>
      </c>
      <c r="M11" s="195">
        <v>1220</v>
      </c>
      <c r="N11" s="195">
        <v>1340</v>
      </c>
      <c r="O11" s="195">
        <v>1726</v>
      </c>
      <c r="P11" s="196">
        <v>1259</v>
      </c>
      <c r="Q11" s="196">
        <v>1272</v>
      </c>
      <c r="R11" s="196">
        <v>1375</v>
      </c>
      <c r="S11" s="196">
        <v>1694</v>
      </c>
      <c r="T11" s="196">
        <v>1275</v>
      </c>
      <c r="U11" s="181">
        <v>1269</v>
      </c>
      <c r="V11" s="122">
        <f t="shared" ref="V11:AG11" ca="1" si="14">V40*V5</f>
        <v>1514.4185325944152</v>
      </c>
      <c r="W11" s="122">
        <f t="shared" ca="1" si="14"/>
        <v>1844.0419160099466</v>
      </c>
      <c r="X11" s="79">
        <f t="shared" ca="1" si="14"/>
        <v>1385.0960670452762</v>
      </c>
      <c r="Y11" s="79">
        <f t="shared" ca="1" si="14"/>
        <v>1369.3122904245622</v>
      </c>
      <c r="Z11" s="79">
        <f t="shared" ca="1" si="14"/>
        <v>1531.071965219415</v>
      </c>
      <c r="AA11" s="79">
        <f t="shared" ca="1" si="14"/>
        <v>1872.2558185099467</v>
      </c>
      <c r="AB11" s="79">
        <f t="shared" ca="1" si="14"/>
        <v>88.227487045276106</v>
      </c>
      <c r="AC11" s="79">
        <f t="shared" ca="1" si="14"/>
        <v>1384.087039024562</v>
      </c>
      <c r="AD11" s="79">
        <f t="shared" ca="1" si="14"/>
        <v>1547.9105707680399</v>
      </c>
      <c r="AE11" s="79">
        <f t="shared" ca="1" si="14"/>
        <v>1891.9523711074464</v>
      </c>
      <c r="AF11" s="79">
        <f t="shared" ca="1" si="14"/>
        <v>88.892487045276113</v>
      </c>
      <c r="AG11" s="79">
        <f t="shared" ca="1" si="14"/>
        <v>1395.5299532745621</v>
      </c>
      <c r="AI11" s="36" t="s">
        <v>0</v>
      </c>
      <c r="AJ11" s="79">
        <f>SUM(P6:S6)</f>
        <v>12198</v>
      </c>
      <c r="AK11" s="79">
        <f ca="1">SUM(T6:W6)</f>
        <v>12266.191351139958</v>
      </c>
      <c r="AL11" s="79">
        <f ca="1">AL10-AL12</f>
        <v>12402.177010931358</v>
      </c>
      <c r="AM11" s="79">
        <f ca="1">AM10-AM12</f>
        <v>12532.927272912071</v>
      </c>
      <c r="AN11" s="79">
        <f ca="1">AN10-AN12</f>
        <v>12626.924227458912</v>
      </c>
      <c r="AO11" s="79">
        <f ca="1">AO10-AO12</f>
        <v>12690.058848596207</v>
      </c>
      <c r="AS11" s="135" t="s">
        <v>161</v>
      </c>
      <c r="AT11" s="188">
        <v>8108.2161488600432</v>
      </c>
      <c r="AU11" s="188"/>
      <c r="AV11" s="188">
        <v>8175.8826540686441</v>
      </c>
      <c r="AW11" s="188"/>
      <c r="AX11" s="188">
        <v>8250.8665741879304</v>
      </c>
      <c r="AY11" s="188"/>
      <c r="AZ11" s="188">
        <v>8312.7480734943401</v>
      </c>
      <c r="BA11" s="188"/>
      <c r="BB11" s="188">
        <v>8354.311813861812</v>
      </c>
      <c r="BC11" s="82"/>
    </row>
    <row r="12" spans="2:55" ht="15" x14ac:dyDescent="0.25">
      <c r="B12" s="88" t="s">
        <v>5</v>
      </c>
      <c r="D12" s="190">
        <v>234</v>
      </c>
      <c r="E12" s="190">
        <v>234</v>
      </c>
      <c r="F12" s="190">
        <v>235</v>
      </c>
      <c r="G12" s="190">
        <v>235</v>
      </c>
      <c r="H12" s="192">
        <v>234</v>
      </c>
      <c r="I12" s="192">
        <v>234</v>
      </c>
      <c r="J12" s="192">
        <v>232</v>
      </c>
      <c r="K12" s="192">
        <v>239</v>
      </c>
      <c r="L12" s="192">
        <v>238</v>
      </c>
      <c r="M12" s="192">
        <v>243</v>
      </c>
      <c r="N12" s="192">
        <v>243</v>
      </c>
      <c r="O12" s="192">
        <v>267</v>
      </c>
      <c r="P12" s="192">
        <v>243</v>
      </c>
      <c r="Q12" s="192">
        <v>241</v>
      </c>
      <c r="R12" s="192">
        <v>243</v>
      </c>
      <c r="S12" s="192">
        <v>239</v>
      </c>
      <c r="T12" s="192">
        <v>230</v>
      </c>
      <c r="U12" s="194">
        <v>228</v>
      </c>
      <c r="V12" s="194">
        <f>(925-T12-U12)/2</f>
        <v>233.5</v>
      </c>
      <c r="W12" s="194">
        <f>(925-T12-U12)/2</f>
        <v>233.5</v>
      </c>
      <c r="X12" s="79">
        <f ca="1">X41*X5</f>
        <v>191.51732000000001</v>
      </c>
      <c r="Y12" s="79">
        <f ca="1">Y41*Y5</f>
        <v>207.61547999999999</v>
      </c>
      <c r="Z12" s="79">
        <f ca="1">Z41*Z5</f>
        <v>222.02226829999998</v>
      </c>
      <c r="AA12" s="79">
        <f ca="1">AA41*AA5</f>
        <v>271.83949799999999</v>
      </c>
      <c r="AB12" s="79">
        <f t="shared" ref="AB12" si="15">AB41*AB5</f>
        <v>12.236000000000001</v>
      </c>
      <c r="AC12" s="79">
        <f ca="1">AC41*AC5</f>
        <v>210.54962219999999</v>
      </c>
      <c r="AD12" s="79">
        <f ca="1">AD41*AD5</f>
        <v>225.17389232449995</v>
      </c>
      <c r="AE12" s="79">
        <f ca="1">AE41*AE5</f>
        <v>275.75293046999997</v>
      </c>
      <c r="AF12" s="79">
        <f ca="1">AF41*AF5</f>
        <v>12.236000000000001</v>
      </c>
      <c r="AG12" s="79">
        <f ca="1">AG41*AG5</f>
        <v>201.39529079999997</v>
      </c>
      <c r="AI12" s="55" t="s">
        <v>1</v>
      </c>
      <c r="AJ12" s="180">
        <f>SUM(P7:S7)</f>
        <v>8031</v>
      </c>
      <c r="AK12" s="180">
        <f ca="1">AK10-AK11</f>
        <v>8028.928648860041</v>
      </c>
      <c r="AL12" s="180">
        <f ca="1">AL13*AL10</f>
        <v>8095.894189068641</v>
      </c>
      <c r="AM12" s="180">
        <f ca="1">AM13*AM10</f>
        <v>8170.1246390879278</v>
      </c>
      <c r="AN12" s="180">
        <f ca="1">AN13*AN10</f>
        <v>8231.4005738810883</v>
      </c>
      <c r="AO12" s="180">
        <f ca="1">AO13*AO10</f>
        <v>8272.5575767504924</v>
      </c>
      <c r="AS12" s="136" t="s">
        <v>158</v>
      </c>
      <c r="AT12" s="137">
        <v>0.39677849451630542</v>
      </c>
      <c r="AU12" s="137"/>
      <c r="AV12" s="137">
        <v>0.39612849451630544</v>
      </c>
      <c r="AW12" s="137"/>
      <c r="AX12" s="137">
        <v>0.39580349451630542</v>
      </c>
      <c r="AY12" s="137"/>
      <c r="AZ12" s="137">
        <v>0.39580349451630542</v>
      </c>
      <c r="BA12" s="137"/>
      <c r="BB12" s="137">
        <v>0.39580349451630542</v>
      </c>
    </row>
    <row r="13" spans="2:55" x14ac:dyDescent="0.2">
      <c r="B13" s="88" t="s">
        <v>6</v>
      </c>
      <c r="D13" s="190">
        <v>64</v>
      </c>
      <c r="E13" s="190">
        <v>128</v>
      </c>
      <c r="F13" s="190">
        <v>6</v>
      </c>
      <c r="G13" s="190">
        <v>0</v>
      </c>
      <c r="H13" s="195">
        <v>64</v>
      </c>
      <c r="I13" s="195">
        <v>128</v>
      </c>
      <c r="J13" s="195">
        <v>6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104</v>
      </c>
      <c r="T13" s="197">
        <v>49</v>
      </c>
      <c r="U13" s="197">
        <v>7</v>
      </c>
      <c r="V13" s="52">
        <f t="shared" ref="V13:AG13" ca="1" si="16">V42*V5</f>
        <v>14.27721</v>
      </c>
      <c r="W13" s="52">
        <f t="shared" ca="1" si="16"/>
        <v>21.05715</v>
      </c>
      <c r="X13" s="52">
        <f t="shared" ca="1" si="16"/>
        <v>12.490260000000001</v>
      </c>
      <c r="Y13" s="52">
        <f t="shared" ca="1" si="16"/>
        <v>13.540140000000001</v>
      </c>
      <c r="Z13" s="52">
        <f t="shared" ca="1" si="16"/>
        <v>14.479713149999998</v>
      </c>
      <c r="AA13" s="52">
        <f t="shared" ca="1" si="16"/>
        <v>21.461013000000001</v>
      </c>
      <c r="AB13" s="52">
        <f t="shared" ca="1" si="16"/>
        <v>0.79800000000000004</v>
      </c>
      <c r="AC13" s="52">
        <f t="shared" ca="1" si="16"/>
        <v>13.731497099999999</v>
      </c>
      <c r="AD13" s="52">
        <f t="shared" ca="1" si="16"/>
        <v>14.685253847249998</v>
      </c>
      <c r="AE13" s="52">
        <f t="shared" ca="1" si="16"/>
        <v>21.769968194999997</v>
      </c>
      <c r="AF13" s="52">
        <f t="shared" ca="1" si="16"/>
        <v>0</v>
      </c>
      <c r="AG13" s="52">
        <f t="shared" ca="1" si="16"/>
        <v>0</v>
      </c>
      <c r="AI13" s="84" t="s">
        <v>2</v>
      </c>
      <c r="AJ13" s="87">
        <f>AJ12/AJ10</f>
        <v>0.39700430075633991</v>
      </c>
      <c r="AK13" s="87">
        <f ca="1">AK12/AK10</f>
        <v>0.39560882856864316</v>
      </c>
      <c r="AL13" s="87">
        <f ca="1">OFFSET(Assumptions!V12,_xlfn.IFS($AK$5="Bull",1,$AK$5="Base",2,$AK$5="Bear",3,$AK$5="Zero-Growth",4),0)+AK13</f>
        <v>0.39495882856864317</v>
      </c>
      <c r="AM13" s="87">
        <f ca="1">OFFSET(Assumptions!W12,_xlfn.IFS($AK$5="Bull",1,$AK$5="Base",2,$AK$5="Bear",3,$AK$5="Zero-Growth",4),0)+AL13</f>
        <v>0.39463382856864315</v>
      </c>
      <c r="AN13" s="87">
        <f ca="1">OFFSET(Assumptions!X12,_xlfn.IFS($AK$5="Bull",1,$AK$5="Base",2,$AK$5="Bear",3,$AK$5="Zero-Growth",4),0)+AM13</f>
        <v>0.39463382856864315</v>
      </c>
      <c r="AO13" s="87">
        <f ca="1">OFFSET(Assumptions!Y12,_xlfn.IFS($AK$5="Bull",1,$AK$5="Base",2,$AK$5="Bear",3,$AK$5="Zero-Growth",4),0)+AN13</f>
        <v>0.39463382856864315</v>
      </c>
      <c r="AS13" s="135" t="s">
        <v>15</v>
      </c>
      <c r="AT13" s="189">
        <v>2011.9831616013889</v>
      </c>
      <c r="AU13" s="189"/>
      <c r="AV13" s="189">
        <v>2093.4304914286427</v>
      </c>
      <c r="AW13" s="189"/>
      <c r="AX13" s="189">
        <v>2126.3511692423294</v>
      </c>
      <c r="AY13" s="189"/>
      <c r="AZ13" s="189">
        <v>2159.1005709367205</v>
      </c>
      <c r="BA13" s="189"/>
      <c r="BB13" s="189">
        <v>2169.896073791404</v>
      </c>
    </row>
    <row r="14" spans="2:55" x14ac:dyDescent="0.2">
      <c r="B14" s="88" t="s">
        <v>27</v>
      </c>
      <c r="D14" s="190">
        <v>0</v>
      </c>
      <c r="E14" s="190">
        <v>0</v>
      </c>
      <c r="F14" s="190">
        <v>0</v>
      </c>
      <c r="G14" s="190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42</v>
      </c>
      <c r="Q14" s="195">
        <v>0</v>
      </c>
      <c r="R14" s="195">
        <v>0</v>
      </c>
      <c r="S14" s="195">
        <v>21</v>
      </c>
      <c r="T14" s="89"/>
      <c r="U14" s="197">
        <v>0</v>
      </c>
      <c r="V14" s="195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0</v>
      </c>
      <c r="AB14" s="195">
        <v>0</v>
      </c>
      <c r="AC14" s="195">
        <v>0</v>
      </c>
      <c r="AD14" s="195">
        <v>0</v>
      </c>
      <c r="AE14" s="195">
        <v>0</v>
      </c>
      <c r="AF14" s="195">
        <v>0</v>
      </c>
      <c r="AG14" s="195">
        <v>0</v>
      </c>
      <c r="AH14" s="89"/>
      <c r="AI14" s="84"/>
      <c r="AS14" s="136" t="s">
        <v>158</v>
      </c>
      <c r="AT14" s="141">
        <v>9.8457124871367971E-2</v>
      </c>
      <c r="AU14" s="141"/>
      <c r="AV14" s="141">
        <v>0.10142849451630537</v>
      </c>
      <c r="AW14" s="141"/>
      <c r="AX14" s="141">
        <v>0.10200349451630539</v>
      </c>
      <c r="AY14" s="141"/>
      <c r="AZ14" s="141">
        <v>0.10280349451630545</v>
      </c>
      <c r="BA14" s="141"/>
      <c r="BB14" s="141">
        <v>0.10280349451630545</v>
      </c>
    </row>
    <row r="15" spans="2:55" ht="15" x14ac:dyDescent="0.25">
      <c r="B15" s="90" t="s">
        <v>12</v>
      </c>
      <c r="C15" s="55"/>
      <c r="D15" s="80">
        <f t="shared" ref="D15:U15" si="17">D7-D11-D12-D13-D14</f>
        <v>106</v>
      </c>
      <c r="E15" s="80">
        <f t="shared" si="17"/>
        <v>301</v>
      </c>
      <c r="F15" s="80">
        <f t="shared" si="17"/>
        <v>286</v>
      </c>
      <c r="G15" s="80">
        <f t="shared" si="17"/>
        <v>478</v>
      </c>
      <c r="H15" s="81">
        <f t="shared" si="17"/>
        <v>106</v>
      </c>
      <c r="I15" s="81">
        <f t="shared" si="17"/>
        <v>302</v>
      </c>
      <c r="J15" s="81">
        <f t="shared" si="17"/>
        <v>289</v>
      </c>
      <c r="K15" s="81">
        <f t="shared" si="17"/>
        <v>473</v>
      </c>
      <c r="L15" s="81">
        <f t="shared" si="17"/>
        <v>185</v>
      </c>
      <c r="M15" s="81">
        <f t="shared" si="17"/>
        <v>407</v>
      </c>
      <c r="N15" s="81">
        <f t="shared" si="17"/>
        <v>257</v>
      </c>
      <c r="O15" s="81">
        <f t="shared" si="17"/>
        <v>567</v>
      </c>
      <c r="P15" s="81">
        <f t="shared" si="17"/>
        <v>168</v>
      </c>
      <c r="Q15" s="81">
        <f t="shared" si="17"/>
        <v>452</v>
      </c>
      <c r="R15" s="81">
        <f t="shared" si="17"/>
        <v>258</v>
      </c>
      <c r="S15" s="81">
        <f t="shared" si="17"/>
        <v>420</v>
      </c>
      <c r="T15" s="81">
        <f t="shared" si="17"/>
        <v>118</v>
      </c>
      <c r="U15" s="81">
        <f t="shared" si="17"/>
        <v>376</v>
      </c>
      <c r="V15" s="79">
        <f t="shared" ref="V15:AG15" ca="1" si="18">V7-V11-V12-V13</f>
        <v>166.93462041336349</v>
      </c>
      <c r="W15" s="79">
        <f t="shared" ca="1" si="18"/>
        <v>449.19921984231803</v>
      </c>
      <c r="X15" s="79">
        <f t="shared" ca="1" si="18"/>
        <v>114.1599301507112</v>
      </c>
      <c r="Y15" s="79">
        <f t="shared" ca="1" si="18"/>
        <v>324.91682998175838</v>
      </c>
      <c r="Z15" s="79">
        <f t="shared" ca="1" si="18"/>
        <v>188.91855328736952</v>
      </c>
      <c r="AA15" s="79">
        <f t="shared" ca="1" si="18"/>
        <v>431.10713796087265</v>
      </c>
      <c r="AB15" s="79">
        <f t="shared" ca="1" si="18"/>
        <v>7.6926531553600679</v>
      </c>
      <c r="AC15" s="79">
        <f t="shared" ca="1" si="18"/>
        <v>336.3744913425935</v>
      </c>
      <c r="AD15" s="79">
        <f t="shared" ca="1" si="18"/>
        <v>198.94289432811064</v>
      </c>
      <c r="AE15" s="79">
        <f t="shared" ca="1" si="18"/>
        <v>448.19838966906696</v>
      </c>
      <c r="AF15" s="79">
        <f t="shared" ca="1" si="18"/>
        <v>7.8921531553600524</v>
      </c>
      <c r="AG15" s="79">
        <f t="shared" ca="1" si="18"/>
        <v>348.96169701759334</v>
      </c>
      <c r="AI15" s="36" t="s">
        <v>3</v>
      </c>
      <c r="AO15" s="103">
        <f ca="1">AO16/AO8</f>
        <v>0.30620405054440109</v>
      </c>
      <c r="AS15" s="135" t="s">
        <v>12</v>
      </c>
      <c r="AT15" s="140">
        <v>1113.8005069223464</v>
      </c>
      <c r="AU15" s="140"/>
      <c r="AV15" s="140">
        <v>1183.9445804286406</v>
      </c>
      <c r="AW15" s="140"/>
      <c r="AX15" s="140">
        <v>1207.688281082329</v>
      </c>
      <c r="AY15" s="140"/>
      <c r="AZ15" s="140">
        <v>1243.8617654321879</v>
      </c>
      <c r="BA15" s="140"/>
      <c r="BB15" s="140">
        <v>1260.5623824720215</v>
      </c>
    </row>
    <row r="16" spans="2:55" x14ac:dyDescent="0.2">
      <c r="B16" s="84" t="s">
        <v>2</v>
      </c>
      <c r="C16" s="85"/>
      <c r="D16" s="86">
        <f t="shared" ref="D16:AG16" si="19">D15/D3</f>
        <v>2.6686807653575024E-2</v>
      </c>
      <c r="E16" s="86">
        <f t="shared" si="19"/>
        <v>7.1975131516021043E-2</v>
      </c>
      <c r="F16" s="86">
        <f t="shared" si="19"/>
        <v>6.6096602727062637E-2</v>
      </c>
      <c r="G16" s="86">
        <f t="shared" si="19"/>
        <v>7.7034649476228845E-2</v>
      </c>
      <c r="H16" s="85">
        <f t="shared" si="19"/>
        <v>2.6686807653575024E-2</v>
      </c>
      <c r="I16" s="85">
        <f t="shared" si="19"/>
        <v>7.2214251554280254E-2</v>
      </c>
      <c r="J16" s="85">
        <f t="shared" si="19"/>
        <v>6.6789923734689158E-2</v>
      </c>
      <c r="K16" s="85">
        <f t="shared" si="19"/>
        <v>7.6228847703464941E-2</v>
      </c>
      <c r="L16" s="85">
        <f t="shared" si="19"/>
        <v>4.8492791612057669E-2</v>
      </c>
      <c r="M16" s="85">
        <f t="shared" si="19"/>
        <v>9.8143236074270557E-2</v>
      </c>
      <c r="N16" s="85">
        <f t="shared" si="19"/>
        <v>5.9601113172541742E-2</v>
      </c>
      <c r="O16" s="85">
        <f t="shared" si="19"/>
        <v>8.3850931677018639E-2</v>
      </c>
      <c r="P16" s="85">
        <f t="shared" si="19"/>
        <v>4.2499367568934986E-2</v>
      </c>
      <c r="Q16" s="85">
        <f t="shared" si="19"/>
        <v>0.1048723897911833</v>
      </c>
      <c r="R16" s="85">
        <f t="shared" si="19"/>
        <v>5.9052414740215151E-2</v>
      </c>
      <c r="S16" s="85">
        <f t="shared" si="19"/>
        <v>6.426931905126243E-2</v>
      </c>
      <c r="T16" s="85">
        <f t="shared" si="19"/>
        <v>3.0881968071185553E-2</v>
      </c>
      <c r="U16" s="85">
        <f t="shared" si="19"/>
        <v>9.0189493883425287E-2</v>
      </c>
      <c r="V16" s="85">
        <f t="shared" ca="1" si="19"/>
        <v>3.7096005265109984E-2</v>
      </c>
      <c r="W16" s="85">
        <f t="shared" ca="1" si="19"/>
        <v>6.6735385986186113E-2</v>
      </c>
      <c r="X16" s="85">
        <f t="shared" ca="1" si="19"/>
        <v>2.929115418679824E-2</v>
      </c>
      <c r="Y16" s="85">
        <f t="shared" ca="1" si="19"/>
        <v>7.6408230210319492E-2</v>
      </c>
      <c r="Z16" s="85">
        <f t="shared" ca="1" si="19"/>
        <v>4.1360835161473743E-2</v>
      </c>
      <c r="AA16" s="85">
        <f t="shared" ca="1" si="19"/>
        <v>6.2791697703090149E-2</v>
      </c>
      <c r="AB16" s="85" t="e">
        <f t="shared" ca="1" si="19"/>
        <v>#DIV/0!</v>
      </c>
      <c r="AC16" s="85">
        <f t="shared" ca="1" si="19"/>
        <v>7.7933637103550849E-2</v>
      </c>
      <c r="AD16" s="85">
        <f t="shared" ca="1" si="19"/>
        <v>4.2911834191345276E-2</v>
      </c>
      <c r="AE16" s="85">
        <f t="shared" ca="1" si="19"/>
        <v>6.4316330937917651E-2</v>
      </c>
      <c r="AF16" s="85" t="e">
        <f t="shared" ca="1" si="19"/>
        <v>#DIV/0!</v>
      </c>
      <c r="AG16" s="85">
        <f t="shared" ca="1" si="19"/>
        <v>8.0849930533851699E-2</v>
      </c>
      <c r="AI16" s="88" t="s">
        <v>4</v>
      </c>
      <c r="AJ16" s="122">
        <f>SUM(P11:S11)</f>
        <v>5600</v>
      </c>
      <c r="AK16" s="122">
        <f ca="1">SUM(T11:W11)</f>
        <v>5902.4604486043618</v>
      </c>
      <c r="AL16" s="122">
        <f ca="1">AL10*OFFSET(Assumptions!V7,_xlfn.IFS($AK$4="Bull",1,$AK$4="Base",2,$AK$4="Bear",3,$AK$4="Zero-Growth",4),0)</f>
        <v>5979.2873690400002</v>
      </c>
      <c r="AM16" s="122">
        <f ca="1">AM10*OFFSET(Assumptions!W7,_xlfn.IFS($AK$4="Bull",1,$AK$4="Base",2,$AK$4="Bear",3,$AK$4="Zero-Growth",4),0)</f>
        <v>6020.4474960095995</v>
      </c>
      <c r="AN16" s="122">
        <f ca="1">AN10*OFFSET(Assumptions!X7,_xlfn.IFS($AK$4="Bull",1,$AK$4="Base",2,$AK$4="Bear",3,$AK$4="Zero-Growth",4),0)</f>
        <v>6048.9141923886</v>
      </c>
      <c r="AO16" s="122">
        <f ca="1">AO10*OFFSET(Assumptions!Y7,_xlfn.IFS($AK$4="Bull",1,$AK$4="Base",2,$AK$4="Bear",3,$AK$4="Zero-Growth",4),0)</f>
        <v>6079.1587633505424</v>
      </c>
      <c r="AS16" s="136" t="s">
        <v>158</v>
      </c>
      <c r="AT16" s="141">
        <v>5.4504231290168417E-2</v>
      </c>
      <c r="AU16" s="141"/>
      <c r="AV16" s="141">
        <v>5.7363125680692857E-2</v>
      </c>
      <c r="AW16" s="141"/>
      <c r="AX16" s="141">
        <v>5.7934186384031125E-2</v>
      </c>
      <c r="AY16" s="141"/>
      <c r="AZ16" s="141">
        <v>5.922528014810001E-2</v>
      </c>
      <c r="BA16" s="141"/>
      <c r="BB16" s="141">
        <v>5.9721854672741874E-2</v>
      </c>
    </row>
    <row r="17" spans="2:54" ht="15" x14ac:dyDescent="0.25">
      <c r="B17" s="213" t="s">
        <v>31</v>
      </c>
      <c r="C17" s="85"/>
      <c r="D17" s="92">
        <f t="shared" ref="D17:AG17" si="20">+D15+D13</f>
        <v>170</v>
      </c>
      <c r="E17" s="92">
        <f t="shared" si="20"/>
        <v>429</v>
      </c>
      <c r="F17" s="92">
        <f t="shared" si="20"/>
        <v>292</v>
      </c>
      <c r="G17" s="92">
        <f t="shared" si="20"/>
        <v>478</v>
      </c>
      <c r="H17" s="93">
        <f t="shared" si="20"/>
        <v>170</v>
      </c>
      <c r="I17" s="93">
        <f t="shared" si="20"/>
        <v>430</v>
      </c>
      <c r="J17" s="93">
        <f t="shared" si="20"/>
        <v>295</v>
      </c>
      <c r="K17" s="93">
        <f t="shared" si="20"/>
        <v>473</v>
      </c>
      <c r="L17" s="93">
        <f t="shared" si="20"/>
        <v>185</v>
      </c>
      <c r="M17" s="93">
        <f t="shared" si="20"/>
        <v>407</v>
      </c>
      <c r="N17" s="93">
        <f t="shared" si="20"/>
        <v>257</v>
      </c>
      <c r="O17" s="93">
        <f t="shared" si="20"/>
        <v>567</v>
      </c>
      <c r="P17" s="93">
        <f t="shared" si="20"/>
        <v>168</v>
      </c>
      <c r="Q17" s="93">
        <f t="shared" si="20"/>
        <v>452</v>
      </c>
      <c r="R17" s="93">
        <f t="shared" si="20"/>
        <v>258</v>
      </c>
      <c r="S17" s="93">
        <f t="shared" si="20"/>
        <v>524</v>
      </c>
      <c r="T17" s="93">
        <f t="shared" si="20"/>
        <v>167</v>
      </c>
      <c r="U17" s="93">
        <f t="shared" si="20"/>
        <v>383</v>
      </c>
      <c r="V17" s="93">
        <f t="shared" ca="1" si="20"/>
        <v>181.21183041336349</v>
      </c>
      <c r="W17" s="93">
        <f t="shared" ca="1" si="20"/>
        <v>470.25636984231801</v>
      </c>
      <c r="X17" s="93">
        <f t="shared" ca="1" si="20"/>
        <v>126.65019015071121</v>
      </c>
      <c r="Y17" s="93">
        <f t="shared" ca="1" si="20"/>
        <v>338.45696998175839</v>
      </c>
      <c r="Z17" s="93">
        <f t="shared" ca="1" si="20"/>
        <v>203.39826643736953</v>
      </c>
      <c r="AA17" s="93">
        <f t="shared" ca="1" si="20"/>
        <v>452.56815096087263</v>
      </c>
      <c r="AB17" s="93">
        <f t="shared" ca="1" si="20"/>
        <v>8.4906531553600679</v>
      </c>
      <c r="AC17" s="93">
        <f t="shared" ca="1" si="20"/>
        <v>350.10598844259351</v>
      </c>
      <c r="AD17" s="93">
        <f t="shared" ca="1" si="20"/>
        <v>213.62814817536065</v>
      </c>
      <c r="AE17" s="93">
        <f t="shared" ca="1" si="20"/>
        <v>469.96835786406695</v>
      </c>
      <c r="AF17" s="93">
        <f t="shared" ca="1" si="20"/>
        <v>7.8921531553600524</v>
      </c>
      <c r="AG17" s="93">
        <f t="shared" ca="1" si="20"/>
        <v>348.96169701759334</v>
      </c>
      <c r="AI17" s="88" t="s">
        <v>5</v>
      </c>
      <c r="AJ17" s="79">
        <f>SUM(P12:S12)</f>
        <v>966</v>
      </c>
      <c r="AK17" s="79">
        <f>SUM(T12:W12)</f>
        <v>925</v>
      </c>
      <c r="AL17" s="79">
        <f ca="1">0.0425*AL10</f>
        <v>871.16802600000005</v>
      </c>
      <c r="AM17" s="79">
        <f ca="1">0.0425*AM10</f>
        <v>879.87970626000003</v>
      </c>
      <c r="AN17" s="79">
        <f ca="1">0.042*AN10</f>
        <v>876.04964165628007</v>
      </c>
      <c r="AO17" s="79">
        <f ca="1">0.0415*AO10</f>
        <v>869.94858165188805</v>
      </c>
      <c r="AS17" s="135" t="s">
        <v>9</v>
      </c>
      <c r="AT17" s="140">
        <v>760.10249886098325</v>
      </c>
      <c r="AU17" s="140"/>
      <c r="AV17" s="140">
        <v>794.53348346176688</v>
      </c>
      <c r="AW17" s="140"/>
      <c r="AX17" s="140">
        <v>813.04605198193008</v>
      </c>
      <c r="AY17" s="140"/>
      <c r="AZ17" s="140">
        <v>840.89192227551803</v>
      </c>
      <c r="BA17" s="140"/>
      <c r="BB17" s="140">
        <v>853.82217612852673</v>
      </c>
    </row>
    <row r="18" spans="2:54" x14ac:dyDescent="0.2">
      <c r="B18" s="84" t="s">
        <v>32</v>
      </c>
      <c r="C18" s="85"/>
      <c r="D18" s="94">
        <f t="shared" ref="D18:AG18" si="21">+D17/D3</f>
        <v>4.2799597180261835E-2</v>
      </c>
      <c r="E18" s="94">
        <f t="shared" si="21"/>
        <v>0.10258249641319943</v>
      </c>
      <c r="F18" s="94">
        <f t="shared" si="21"/>
        <v>6.7483244742315693E-2</v>
      </c>
      <c r="G18" s="94">
        <f t="shared" si="21"/>
        <v>7.7034649476228845E-2</v>
      </c>
      <c r="H18" s="95">
        <f t="shared" si="21"/>
        <v>4.2799597180261835E-2</v>
      </c>
      <c r="I18" s="95">
        <f t="shared" si="21"/>
        <v>0.10282161645145864</v>
      </c>
      <c r="J18" s="95">
        <f t="shared" si="21"/>
        <v>6.8176565749942228E-2</v>
      </c>
      <c r="K18" s="95">
        <f t="shared" si="21"/>
        <v>7.6228847703464941E-2</v>
      </c>
      <c r="L18" s="95">
        <f t="shared" si="21"/>
        <v>4.8492791612057669E-2</v>
      </c>
      <c r="M18" s="95">
        <f t="shared" si="21"/>
        <v>9.8143236074270557E-2</v>
      </c>
      <c r="N18" s="95">
        <f t="shared" si="21"/>
        <v>5.9601113172541742E-2</v>
      </c>
      <c r="O18" s="95">
        <f t="shared" si="21"/>
        <v>8.3850931677018639E-2</v>
      </c>
      <c r="P18" s="212">
        <f t="shared" si="21"/>
        <v>4.2499367568934986E-2</v>
      </c>
      <c r="Q18" s="212">
        <f t="shared" si="21"/>
        <v>0.1048723897911833</v>
      </c>
      <c r="R18" s="212">
        <f t="shared" si="21"/>
        <v>5.9052414740215151E-2</v>
      </c>
      <c r="S18" s="212">
        <f t="shared" si="21"/>
        <v>8.0183626625860746E-2</v>
      </c>
      <c r="T18" s="212">
        <f t="shared" si="21"/>
        <v>4.3705836168542268E-2</v>
      </c>
      <c r="U18" s="212">
        <f t="shared" si="21"/>
        <v>9.1868553609978407E-2</v>
      </c>
      <c r="V18" s="212">
        <f t="shared" ca="1" si="21"/>
        <v>4.0268669245892508E-2</v>
      </c>
      <c r="W18" s="212">
        <f t="shared" ca="1" si="21"/>
        <v>6.9863746346011099E-2</v>
      </c>
      <c r="X18" s="95">
        <f t="shared" ca="1" si="21"/>
        <v>3.2495905021966122E-2</v>
      </c>
      <c r="Y18" s="95">
        <f t="shared" ca="1" si="21"/>
        <v>7.9592362390416282E-2</v>
      </c>
      <c r="Z18" s="95">
        <f t="shared" ca="1" si="21"/>
        <v>4.45309474578112E-2</v>
      </c>
      <c r="AA18" s="95">
        <f t="shared" ca="1" si="21"/>
        <v>6.5917541193114645E-2</v>
      </c>
      <c r="AB18" s="95" t="e">
        <f t="shared" ca="1" si="21"/>
        <v>#DIV/0!</v>
      </c>
      <c r="AC18" s="95">
        <f t="shared" ca="1" si="21"/>
        <v>8.1115048118424543E-2</v>
      </c>
      <c r="AD18" s="95">
        <f t="shared" ca="1" si="21"/>
        <v>4.6079432512860015E-2</v>
      </c>
      <c r="AE18" s="95">
        <f t="shared" ca="1" si="21"/>
        <v>6.7440314671931942E-2</v>
      </c>
      <c r="AF18" s="95" t="e">
        <f t="shared" ca="1" si="21"/>
        <v>#DIV/0!</v>
      </c>
      <c r="AG18" s="95">
        <f t="shared" ca="1" si="21"/>
        <v>8.0849930533851699E-2</v>
      </c>
      <c r="AI18" s="88" t="s">
        <v>6</v>
      </c>
      <c r="AJ18" s="52">
        <f>SUM(P13:S13)</f>
        <v>104</v>
      </c>
      <c r="AK18" s="52">
        <f ca="1">SUM(T13:W13)</f>
        <v>91.334360000000004</v>
      </c>
      <c r="AL18" s="52">
        <f ca="1">OFFSET(Assumptions!V17,_xlfn.IFS($AK$3="Bull",1,$AK$3="Base",2,$AK$3="Bear",3,$AK$3="Zero-Growth",4),0)*Model!AL10</f>
        <v>61.494213599999995</v>
      </c>
      <c r="AM18" s="52">
        <f ca="1">OFFSET(Assumptions!W17,_xlfn.IFS($AK$3="Bull",1,$AK$3="Base",2,$AK$3="Bear",3,$AK$3="Zero-Growth",4),0)*Model!AM10</f>
        <v>62.109155735999998</v>
      </c>
      <c r="AN18" s="52">
        <f ca="1">OFFSET(Assumptions!X17,_xlfn.IFS($AK$3="Bull",1,$AK$3="Base",2,$AK$3="Bear",3,$AK$3="Zero-Growth",4),0)*Model!AN10</f>
        <v>62.574974404020004</v>
      </c>
      <c r="AO18" s="52">
        <f ca="1">OFFSET(Assumptions!Y17,_xlfn.IFS($AK$3="Bull",1,$AK$3="Base",2,$AK$3="Bear",3,$AK$3="Zero-Growth",4),0)*Model!AO10</f>
        <v>62.8878492760401</v>
      </c>
      <c r="AS18" s="136" t="s">
        <v>158</v>
      </c>
      <c r="AT18" s="141">
        <v>3.7195891135505116E-2</v>
      </c>
      <c r="AU18" s="141"/>
      <c r="AV18" s="141">
        <v>3.8495825584027893E-2</v>
      </c>
      <c r="AW18" s="141"/>
      <c r="AX18" s="141">
        <v>3.9002747854858695E-2</v>
      </c>
      <c r="AY18" s="141"/>
      <c r="AZ18" s="141">
        <v>4.0038259117754812E-2</v>
      </c>
      <c r="BA18" s="141"/>
      <c r="BB18" s="141">
        <v>4.0451662391443662E-2</v>
      </c>
    </row>
    <row r="19" spans="2:54" x14ac:dyDescent="0.2">
      <c r="B19" s="84"/>
      <c r="C19" s="85"/>
      <c r="D19" s="86"/>
      <c r="E19" s="86"/>
      <c r="F19" s="86"/>
      <c r="G19" s="86"/>
      <c r="AI19" s="88" t="s">
        <v>27</v>
      </c>
      <c r="AJ19" s="104">
        <f>SUM(P14:S14)</f>
        <v>63</v>
      </c>
      <c r="AK19" s="104">
        <f>SUM(T14:W14)</f>
        <v>0</v>
      </c>
      <c r="AL19" s="104">
        <f>SUM(U14:X14)</f>
        <v>0</v>
      </c>
      <c r="AM19" s="104">
        <f>SUM(AB14:AE14)</f>
        <v>0</v>
      </c>
      <c r="AN19" s="195">
        <v>0</v>
      </c>
      <c r="AO19" s="195">
        <v>0</v>
      </c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</row>
    <row r="20" spans="2:54" ht="15" x14ac:dyDescent="0.25">
      <c r="B20" s="96" t="s">
        <v>7</v>
      </c>
      <c r="D20" s="190">
        <v>79</v>
      </c>
      <c r="E20" s="190">
        <v>78</v>
      </c>
      <c r="F20" s="190">
        <v>76</v>
      </c>
      <c r="G20" s="190">
        <v>75</v>
      </c>
      <c r="H20" s="192">
        <v>79</v>
      </c>
      <c r="I20" s="192">
        <v>78</v>
      </c>
      <c r="J20" s="192">
        <v>76</v>
      </c>
      <c r="K20" s="192">
        <v>75</v>
      </c>
      <c r="L20" s="192">
        <v>76</v>
      </c>
      <c r="M20" s="192">
        <v>75</v>
      </c>
      <c r="N20" s="192">
        <v>74</v>
      </c>
      <c r="O20" s="192">
        <v>74</v>
      </c>
      <c r="P20" s="192">
        <v>71</v>
      </c>
      <c r="Q20" s="192">
        <v>65</v>
      </c>
      <c r="R20" s="192">
        <v>63</v>
      </c>
      <c r="S20" s="192">
        <v>58</v>
      </c>
      <c r="T20" s="192">
        <v>52</v>
      </c>
      <c r="U20" s="192">
        <v>53</v>
      </c>
      <c r="V20" s="192">
        <v>50</v>
      </c>
      <c r="W20" s="192">
        <v>50</v>
      </c>
      <c r="X20" s="192">
        <v>50</v>
      </c>
      <c r="Y20" s="192">
        <v>50</v>
      </c>
      <c r="Z20" s="192">
        <v>50</v>
      </c>
      <c r="AA20" s="192">
        <v>50</v>
      </c>
      <c r="AB20" s="192">
        <v>50</v>
      </c>
      <c r="AC20" s="192">
        <v>50</v>
      </c>
      <c r="AD20" s="192">
        <v>50</v>
      </c>
      <c r="AE20" s="192">
        <v>50</v>
      </c>
      <c r="AF20" s="192">
        <v>50</v>
      </c>
      <c r="AG20" s="192">
        <v>50</v>
      </c>
      <c r="AI20" s="90" t="s">
        <v>12</v>
      </c>
      <c r="AJ20" s="210">
        <f>SUM(P15:S15)</f>
        <v>1298</v>
      </c>
      <c r="AK20" s="210">
        <f ca="1">AK12-SUM(AK16:AK19)</f>
        <v>1110.1338402556794</v>
      </c>
      <c r="AL20" s="210">
        <f ca="1">AL12-SUM(AL16:AL19)</f>
        <v>1183.9445804286406</v>
      </c>
      <c r="AM20" s="210">
        <f ca="1">AM12-SUM(AM16:AM19)</f>
        <v>1207.688281082329</v>
      </c>
      <c r="AN20" s="210">
        <f ca="1">AN12-SUM(AN16:AN19)</f>
        <v>1243.8617654321879</v>
      </c>
      <c r="AO20" s="210">
        <f ca="1">AO12-SUM(AO16:AO19)</f>
        <v>1260.5623824720215</v>
      </c>
      <c r="AS20" s="135" t="s">
        <v>159</v>
      </c>
      <c r="AT20" s="131"/>
      <c r="AU20" s="131"/>
      <c r="AV20" s="131"/>
      <c r="AW20" s="131"/>
      <c r="AX20" s="131"/>
      <c r="AY20" s="131"/>
      <c r="AZ20" s="131"/>
      <c r="BA20" s="131"/>
      <c r="BB20" s="131"/>
    </row>
    <row r="21" spans="2:54" ht="15" x14ac:dyDescent="0.25">
      <c r="B21" s="55" t="s">
        <v>8</v>
      </c>
      <c r="C21" s="55"/>
      <c r="D21" s="80">
        <f t="shared" ref="D21:AG21" si="22">D15-D20</f>
        <v>27</v>
      </c>
      <c r="E21" s="80">
        <f t="shared" si="22"/>
        <v>223</v>
      </c>
      <c r="F21" s="80">
        <f t="shared" si="22"/>
        <v>210</v>
      </c>
      <c r="G21" s="80">
        <f t="shared" si="22"/>
        <v>403</v>
      </c>
      <c r="H21" s="81">
        <f t="shared" si="22"/>
        <v>27</v>
      </c>
      <c r="I21" s="81">
        <f t="shared" si="22"/>
        <v>224</v>
      </c>
      <c r="J21" s="81">
        <f t="shared" si="22"/>
        <v>213</v>
      </c>
      <c r="K21" s="81">
        <f t="shared" si="22"/>
        <v>398</v>
      </c>
      <c r="L21" s="81">
        <f t="shared" si="22"/>
        <v>109</v>
      </c>
      <c r="M21" s="81">
        <f t="shared" si="22"/>
        <v>332</v>
      </c>
      <c r="N21" s="81">
        <f t="shared" si="22"/>
        <v>183</v>
      </c>
      <c r="O21" s="81">
        <f t="shared" si="22"/>
        <v>493</v>
      </c>
      <c r="P21" s="81">
        <f t="shared" si="22"/>
        <v>97</v>
      </c>
      <c r="Q21" s="81">
        <f t="shared" si="22"/>
        <v>387</v>
      </c>
      <c r="R21" s="81">
        <f t="shared" si="22"/>
        <v>195</v>
      </c>
      <c r="S21" s="81">
        <f t="shared" si="22"/>
        <v>362</v>
      </c>
      <c r="T21" s="81">
        <f t="shared" si="22"/>
        <v>66</v>
      </c>
      <c r="U21" s="81">
        <f t="shared" si="22"/>
        <v>323</v>
      </c>
      <c r="V21" s="81">
        <f t="shared" ca="1" si="22"/>
        <v>116.93462041336349</v>
      </c>
      <c r="W21" s="81">
        <f t="shared" ca="1" si="22"/>
        <v>399.19921984231803</v>
      </c>
      <c r="X21" s="81">
        <f t="shared" ca="1" si="22"/>
        <v>64.159930150711205</v>
      </c>
      <c r="Y21" s="81">
        <f t="shared" ca="1" si="22"/>
        <v>274.91682998175838</v>
      </c>
      <c r="Z21" s="81">
        <f t="shared" ca="1" si="22"/>
        <v>138.91855328736952</v>
      </c>
      <c r="AA21" s="81">
        <f t="shared" ca="1" si="22"/>
        <v>381.10713796087265</v>
      </c>
      <c r="AB21" s="81">
        <f t="shared" ca="1" si="22"/>
        <v>-42.30734684463993</v>
      </c>
      <c r="AC21" s="81">
        <f t="shared" ca="1" si="22"/>
        <v>286.3744913425935</v>
      </c>
      <c r="AD21" s="81">
        <f t="shared" ca="1" si="22"/>
        <v>148.94289432811064</v>
      </c>
      <c r="AE21" s="81">
        <f t="shared" ca="1" si="22"/>
        <v>398.19838966906696</v>
      </c>
      <c r="AF21" s="81">
        <f t="shared" ca="1" si="22"/>
        <v>-42.107846844639951</v>
      </c>
      <c r="AG21" s="81">
        <f t="shared" ca="1" si="22"/>
        <v>298.96169701759334</v>
      </c>
      <c r="AI21" s="84" t="s">
        <v>2</v>
      </c>
      <c r="AJ21" s="85">
        <f t="shared" ref="AJ21" si="23">AJ20/AJ10</f>
        <v>6.416530723219141E-2</v>
      </c>
      <c r="AK21" s="85">
        <f ca="1">AK20/AK10</f>
        <v>5.4699545519104074E-2</v>
      </c>
      <c r="AL21" s="85">
        <f ca="1">AL20/AL10</f>
        <v>5.7758828568643117E-2</v>
      </c>
      <c r="AM21" s="85">
        <f ca="1">AM20/AM10</f>
        <v>5.8333828568643213E-2</v>
      </c>
      <c r="AN21" s="85">
        <f ca="1">AN20/AN10</f>
        <v>5.9633828568643181E-2</v>
      </c>
      <c r="AO21" s="85">
        <f ca="1">AO20/AO10</f>
        <v>6.0133828568643147E-2</v>
      </c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</row>
    <row r="22" spans="2:54" ht="15" x14ac:dyDescent="0.25">
      <c r="B22" s="36" t="s">
        <v>65</v>
      </c>
      <c r="D22" s="190">
        <v>10</v>
      </c>
      <c r="E22" s="190">
        <v>84</v>
      </c>
      <c r="F22" s="190">
        <v>79</v>
      </c>
      <c r="G22" s="83">
        <f t="shared" ref="G22:O22" si="24">319-F22-E22-D22</f>
        <v>146</v>
      </c>
      <c r="H22" s="89">
        <f t="shared" si="24"/>
        <v>10</v>
      </c>
      <c r="I22" s="89">
        <f t="shared" si="24"/>
        <v>84</v>
      </c>
      <c r="J22" s="89">
        <f t="shared" si="24"/>
        <v>79</v>
      </c>
      <c r="K22" s="89">
        <f t="shared" si="24"/>
        <v>146</v>
      </c>
      <c r="L22" s="89">
        <f t="shared" si="24"/>
        <v>10</v>
      </c>
      <c r="M22" s="89">
        <f t="shared" si="24"/>
        <v>84</v>
      </c>
      <c r="N22" s="89">
        <f t="shared" si="24"/>
        <v>79</v>
      </c>
      <c r="O22" s="89">
        <f t="shared" si="24"/>
        <v>146</v>
      </c>
      <c r="P22" s="89">
        <f t="shared" ref="P22:AG22" ca="1" si="25">P23*P21</f>
        <v>10</v>
      </c>
      <c r="Q22" s="89">
        <f t="shared" ca="1" si="25"/>
        <v>84</v>
      </c>
      <c r="R22" s="89">
        <f t="shared" ca="1" si="25"/>
        <v>79</v>
      </c>
      <c r="S22" s="89">
        <f t="shared" ca="1" si="25"/>
        <v>146</v>
      </c>
      <c r="T22" s="89">
        <f t="shared" ca="1" si="25"/>
        <v>10</v>
      </c>
      <c r="U22" s="89">
        <f t="shared" ca="1" si="25"/>
        <v>82</v>
      </c>
      <c r="V22" s="89">
        <f t="shared" ca="1" si="25"/>
        <v>28.064308899207237</v>
      </c>
      <c r="W22" s="89">
        <f t="shared" ca="1" si="25"/>
        <v>95.807812762156317</v>
      </c>
      <c r="X22" s="89">
        <f t="shared" ca="1" si="25"/>
        <v>15.398383236170689</v>
      </c>
      <c r="Y22" s="89">
        <f t="shared" ca="1" si="25"/>
        <v>65.980039195622012</v>
      </c>
      <c r="Z22" s="89">
        <f t="shared" ca="1" si="25"/>
        <v>33.340452788968683</v>
      </c>
      <c r="AA22" s="89">
        <f t="shared" ca="1" si="25"/>
        <v>91.465713110609428</v>
      </c>
      <c r="AB22" s="89">
        <f t="shared" ca="1" si="25"/>
        <v>-10.153763242713582</v>
      </c>
      <c r="AC22" s="89">
        <f t="shared" ca="1" si="25"/>
        <v>68.729877922222443</v>
      </c>
      <c r="AD22" s="89">
        <f t="shared" ca="1" si="25"/>
        <v>35.746294638746555</v>
      </c>
      <c r="AE22" s="89">
        <f t="shared" ca="1" si="25"/>
        <v>95.56761352057606</v>
      </c>
      <c r="AF22" s="89">
        <f t="shared" ca="1" si="25"/>
        <v>-10.105883242713588</v>
      </c>
      <c r="AG22" s="89">
        <f t="shared" ca="1" si="25"/>
        <v>71.750807284222404</v>
      </c>
      <c r="AI22" s="91" t="s">
        <v>31</v>
      </c>
      <c r="AJ22" s="211">
        <f>SUM(P17:S17)</f>
        <v>1402</v>
      </c>
      <c r="AK22" s="211">
        <f ca="1">AK20+AK18</f>
        <v>1201.4682002556794</v>
      </c>
      <c r="AL22" s="211">
        <f ca="1">AL20+AL18</f>
        <v>1245.4387940286406</v>
      </c>
      <c r="AM22" s="211">
        <f ca="1">AM20+AM18</f>
        <v>1269.7974368183291</v>
      </c>
      <c r="AN22" s="211">
        <f ca="1">AN20+AN18</f>
        <v>1306.4367398362078</v>
      </c>
      <c r="AO22" s="211">
        <f ca="1">AO20+AO18</f>
        <v>1323.4502317480615</v>
      </c>
      <c r="AS22" s="131" t="s">
        <v>79</v>
      </c>
      <c r="AT22" s="138">
        <v>846.48838526098325</v>
      </c>
      <c r="AU22" s="138"/>
      <c r="AV22" s="138">
        <v>899.79788112576693</v>
      </c>
      <c r="AW22" s="138"/>
      <c r="AX22" s="138">
        <v>917.84309362257011</v>
      </c>
      <c r="AY22" s="138"/>
      <c r="AZ22" s="138">
        <v>945.33494172846281</v>
      </c>
      <c r="BA22" s="138"/>
      <c r="BB22" s="138">
        <v>958.02741067873626</v>
      </c>
    </row>
    <row r="23" spans="2:54" x14ac:dyDescent="0.2">
      <c r="B23" s="84" t="s">
        <v>19</v>
      </c>
      <c r="C23" s="85"/>
      <c r="D23" s="86">
        <f t="shared" ref="D23:T23" si="26">D22/D21</f>
        <v>0.37037037037037035</v>
      </c>
      <c r="E23" s="86">
        <f t="shared" si="26"/>
        <v>0.37668161434977576</v>
      </c>
      <c r="F23" s="86">
        <f t="shared" si="26"/>
        <v>0.37619047619047619</v>
      </c>
      <c r="G23" s="86">
        <f t="shared" si="26"/>
        <v>0.36228287841191065</v>
      </c>
      <c r="H23" s="85">
        <f t="shared" si="26"/>
        <v>0.37037037037037035</v>
      </c>
      <c r="I23" s="85">
        <f t="shared" si="26"/>
        <v>0.375</v>
      </c>
      <c r="J23" s="85">
        <f t="shared" si="26"/>
        <v>0.37089201877934275</v>
      </c>
      <c r="K23" s="85">
        <f t="shared" si="26"/>
        <v>0.36683417085427134</v>
      </c>
      <c r="L23" s="85">
        <f t="shared" si="26"/>
        <v>9.1743119266055051E-2</v>
      </c>
      <c r="M23" s="85">
        <f t="shared" si="26"/>
        <v>0.25301204819277107</v>
      </c>
      <c r="N23" s="85">
        <f t="shared" si="26"/>
        <v>0.43169398907103823</v>
      </c>
      <c r="O23" s="85">
        <f t="shared" si="26"/>
        <v>0.29614604462474647</v>
      </c>
      <c r="P23" s="85">
        <f t="shared" ca="1" si="26"/>
        <v>0.10309278350515463</v>
      </c>
      <c r="Q23" s="85">
        <f t="shared" ca="1" si="26"/>
        <v>0.21705426356589147</v>
      </c>
      <c r="R23" s="85">
        <f t="shared" ca="1" si="26"/>
        <v>0.40512820512820513</v>
      </c>
      <c r="S23" s="85">
        <f t="shared" ca="1" si="26"/>
        <v>0.40331491712707185</v>
      </c>
      <c r="T23" s="85">
        <f t="shared" ca="1" si="26"/>
        <v>0.15151515151515152</v>
      </c>
      <c r="U23" s="85">
        <f ca="1">U22/U21</f>
        <v>0.25386996904024767</v>
      </c>
      <c r="V23" s="198">
        <v>0.24</v>
      </c>
      <c r="W23" s="198">
        <v>0.24</v>
      </c>
      <c r="X23" s="198">
        <v>0.24</v>
      </c>
      <c r="Y23" s="198">
        <v>0.24</v>
      </c>
      <c r="Z23" s="198">
        <v>0.24</v>
      </c>
      <c r="AA23" s="198">
        <v>0.24</v>
      </c>
      <c r="AB23" s="198">
        <v>0.24</v>
      </c>
      <c r="AC23" s="198">
        <v>0.24</v>
      </c>
      <c r="AD23" s="198">
        <v>0.24</v>
      </c>
      <c r="AE23" s="198">
        <v>0.24</v>
      </c>
      <c r="AF23" s="198">
        <v>0.24</v>
      </c>
      <c r="AG23" s="198">
        <v>0.24</v>
      </c>
      <c r="AI23" s="84" t="s">
        <v>32</v>
      </c>
      <c r="AJ23" s="209">
        <f t="shared" ref="AJ23" si="27">AJ22/AJ10</f>
        <v>6.9306441247713679E-2</v>
      </c>
      <c r="AK23" s="209">
        <f ca="1">AK22/AK10</f>
        <v>5.9199856924013236E-2</v>
      </c>
      <c r="AL23" s="209">
        <f ca="1">AL22/AL10</f>
        <v>6.0758828568643113E-2</v>
      </c>
      <c r="AM23" s="209">
        <f ca="1">AM22/AM10</f>
        <v>6.1333828568643216E-2</v>
      </c>
      <c r="AN23" s="209">
        <f ca="1">AN22/AN10</f>
        <v>6.2633828568643177E-2</v>
      </c>
      <c r="AO23" s="209">
        <f ca="1">AO22/AO10</f>
        <v>6.3133828568643149E-2</v>
      </c>
      <c r="AS23" s="131" t="s">
        <v>160</v>
      </c>
      <c r="AT23" s="138">
        <v>921.33333333333326</v>
      </c>
      <c r="AU23" s="138"/>
      <c r="AV23" s="138">
        <v>871.16802600000005</v>
      </c>
      <c r="AW23" s="138"/>
      <c r="AX23" s="138">
        <v>879.87970626000003</v>
      </c>
      <c r="AY23" s="138"/>
      <c r="AZ23" s="138">
        <v>876.04964165628007</v>
      </c>
      <c r="BA23" s="138"/>
      <c r="BB23" s="138">
        <v>869.94858165188805</v>
      </c>
    </row>
    <row r="24" spans="2:54" ht="15" x14ac:dyDescent="0.25">
      <c r="B24" s="55" t="s">
        <v>9</v>
      </c>
      <c r="C24" s="55"/>
      <c r="D24" s="80">
        <f t="shared" ref="D24:AG24" si="28">D21-D22</f>
        <v>17</v>
      </c>
      <c r="E24" s="80">
        <f t="shared" si="28"/>
        <v>139</v>
      </c>
      <c r="F24" s="80">
        <f t="shared" si="28"/>
        <v>131</v>
      </c>
      <c r="G24" s="80">
        <f t="shared" si="28"/>
        <v>257</v>
      </c>
      <c r="H24" s="81">
        <f t="shared" si="28"/>
        <v>17</v>
      </c>
      <c r="I24" s="81">
        <f t="shared" si="28"/>
        <v>140</v>
      </c>
      <c r="J24" s="81">
        <f t="shared" si="28"/>
        <v>134</v>
      </c>
      <c r="K24" s="81">
        <f t="shared" si="28"/>
        <v>252</v>
      </c>
      <c r="L24" s="81">
        <f t="shared" si="28"/>
        <v>99</v>
      </c>
      <c r="M24" s="81">
        <f t="shared" si="28"/>
        <v>248</v>
      </c>
      <c r="N24" s="81">
        <f t="shared" si="28"/>
        <v>104</v>
      </c>
      <c r="O24" s="81">
        <f t="shared" si="28"/>
        <v>347</v>
      </c>
      <c r="P24" s="81">
        <f t="shared" ca="1" si="28"/>
        <v>87</v>
      </c>
      <c r="Q24" s="81">
        <f t="shared" ca="1" si="28"/>
        <v>303</v>
      </c>
      <c r="R24" s="81">
        <f t="shared" ca="1" si="28"/>
        <v>116</v>
      </c>
      <c r="S24" s="81">
        <f t="shared" ca="1" si="28"/>
        <v>216</v>
      </c>
      <c r="T24" s="81">
        <f t="shared" ca="1" si="28"/>
        <v>56</v>
      </c>
      <c r="U24" s="81">
        <f t="shared" ca="1" si="28"/>
        <v>241</v>
      </c>
      <c r="V24" s="81">
        <f t="shared" ca="1" si="28"/>
        <v>88.870311514156256</v>
      </c>
      <c r="W24" s="81">
        <f t="shared" ca="1" si="28"/>
        <v>303.39140708016168</v>
      </c>
      <c r="X24" s="81">
        <f t="shared" ca="1" si="28"/>
        <v>48.761546914540517</v>
      </c>
      <c r="Y24" s="81">
        <f t="shared" ca="1" si="28"/>
        <v>208.93679078613638</v>
      </c>
      <c r="Z24" s="81">
        <f t="shared" ca="1" si="28"/>
        <v>105.57810049840083</v>
      </c>
      <c r="AA24" s="81">
        <f t="shared" ca="1" si="28"/>
        <v>289.64142485026321</v>
      </c>
      <c r="AB24" s="81">
        <f t="shared" ca="1" si="28"/>
        <v>-32.15358360192635</v>
      </c>
      <c r="AC24" s="81">
        <f t="shared" ca="1" si="28"/>
        <v>217.64461342037106</v>
      </c>
      <c r="AD24" s="81">
        <f t="shared" ca="1" si="28"/>
        <v>113.19659968936409</v>
      </c>
      <c r="AE24" s="81">
        <f t="shared" ca="1" si="28"/>
        <v>302.6307761484909</v>
      </c>
      <c r="AF24" s="81">
        <f t="shared" ca="1" si="28"/>
        <v>-32.001963601926363</v>
      </c>
      <c r="AG24" s="81">
        <f t="shared" ca="1" si="28"/>
        <v>227.21088973337095</v>
      </c>
      <c r="AI24" s="84"/>
      <c r="AS24" s="131" t="s">
        <v>162</v>
      </c>
      <c r="AT24" s="142">
        <v>-811.8048</v>
      </c>
      <c r="AU24" s="142"/>
      <c r="AV24" s="142">
        <v>-819.92284799999993</v>
      </c>
      <c r="AW24" s="142"/>
      <c r="AX24" s="142">
        <v>-828.12207648000003</v>
      </c>
      <c r="AY24" s="142"/>
      <c r="AZ24" s="142">
        <v>-834.33299205360004</v>
      </c>
      <c r="BA24" s="142"/>
      <c r="BB24" s="142">
        <v>-838.50465701386804</v>
      </c>
    </row>
    <row r="25" spans="2:54" x14ac:dyDescent="0.2">
      <c r="B25" s="84" t="s">
        <v>2</v>
      </c>
      <c r="C25" s="85"/>
      <c r="D25" s="86">
        <f t="shared" ref="D25:T25" si="29">D24/D3</f>
        <v>4.2799597180261835E-3</v>
      </c>
      <c r="E25" s="86">
        <f t="shared" si="29"/>
        <v>3.3237685318029654E-2</v>
      </c>
      <c r="F25" s="86">
        <f t="shared" si="29"/>
        <v>3.0275017333025192E-2</v>
      </c>
      <c r="G25" s="86">
        <f t="shared" si="29"/>
        <v>4.1418211120064462E-2</v>
      </c>
      <c r="H25" s="85">
        <f t="shared" si="29"/>
        <v>4.2799597180261835E-3</v>
      </c>
      <c r="I25" s="85">
        <f t="shared" si="29"/>
        <v>3.3476805356288858E-2</v>
      </c>
      <c r="J25" s="85">
        <f t="shared" si="29"/>
        <v>3.096833834065172E-2</v>
      </c>
      <c r="K25" s="85">
        <f t="shared" si="29"/>
        <v>4.0612409347300565E-2</v>
      </c>
      <c r="L25" s="85">
        <f t="shared" si="29"/>
        <v>2.5950196592398427E-2</v>
      </c>
      <c r="M25" s="85">
        <f t="shared" si="29"/>
        <v>5.980226669881842E-2</v>
      </c>
      <c r="N25" s="85">
        <f t="shared" si="29"/>
        <v>2.4118738404452691E-2</v>
      </c>
      <c r="O25" s="85">
        <f t="shared" si="29"/>
        <v>5.1316178645371191E-2</v>
      </c>
      <c r="P25" s="85">
        <f t="shared" ca="1" si="29"/>
        <v>2.2008601062484191E-2</v>
      </c>
      <c r="Q25" s="85">
        <f t="shared" ca="1" si="29"/>
        <v>7.0301624129930393E-2</v>
      </c>
      <c r="R25" s="85">
        <f t="shared" ca="1" si="29"/>
        <v>2.6550698100251773E-2</v>
      </c>
      <c r="S25" s="85">
        <f t="shared" ca="1" si="29"/>
        <v>3.3052792654934965E-2</v>
      </c>
      <c r="T25" s="85">
        <f t="shared" ca="1" si="29"/>
        <v>1.4655849254121958E-2</v>
      </c>
      <c r="U25" s="85">
        <f t="shared" ref="U25:AG25" ca="1" si="30">U24/U5</f>
        <v>5.440180586907449E-2</v>
      </c>
      <c r="V25" s="85">
        <f t="shared" ca="1" si="30"/>
        <v>1.8673881979915458E-2</v>
      </c>
      <c r="W25" s="85">
        <f t="shared" ca="1" si="30"/>
        <v>4.3223998558232481E-2</v>
      </c>
      <c r="X25" s="85">
        <f t="shared" ca="1" si="30"/>
        <v>1.1711897169764405E-2</v>
      </c>
      <c r="Y25" s="85">
        <f t="shared" ca="1" si="30"/>
        <v>4.6292754163428824E-2</v>
      </c>
      <c r="Z25" s="85">
        <f t="shared" ca="1" si="30"/>
        <v>2.1874349181786278E-2</v>
      </c>
      <c r="AA25" s="85">
        <f t="shared" ca="1" si="30"/>
        <v>4.0488502315840801E-2</v>
      </c>
      <c r="AB25" s="85">
        <f t="shared" ca="1" si="30"/>
        <v>-0.12087813384182838</v>
      </c>
      <c r="AC25" s="85">
        <f t="shared" ca="1" si="30"/>
        <v>4.7550083978906657E-2</v>
      </c>
      <c r="AD25" s="85">
        <f t="shared" ca="1" si="30"/>
        <v>2.3124544022212108E-2</v>
      </c>
      <c r="AE25" s="85">
        <f t="shared" ca="1" si="30"/>
        <v>4.1703888600718865E-2</v>
      </c>
      <c r="AF25" s="85">
        <f t="shared" ca="1" si="30"/>
        <v>-0.12030813384182844</v>
      </c>
      <c r="AG25" s="85">
        <f t="shared" ca="1" si="30"/>
        <v>4.9640083978906631E-2</v>
      </c>
      <c r="AI25" s="96" t="s">
        <v>7</v>
      </c>
      <c r="AJ25" s="182">
        <f>SUM(P20:S20)</f>
        <v>257</v>
      </c>
      <c r="AK25" s="182">
        <f>SUM(T20:W20)</f>
        <v>205</v>
      </c>
      <c r="AL25" s="182">
        <f>SUM(X20:AA20)</f>
        <v>200</v>
      </c>
      <c r="AM25" s="182">
        <f>SUM(AB20:AE20)</f>
        <v>200</v>
      </c>
      <c r="AN25" s="192">
        <v>200</v>
      </c>
      <c r="AO25" s="192">
        <v>200</v>
      </c>
      <c r="AS25" s="135" t="s">
        <v>163</v>
      </c>
      <c r="AT25" s="139">
        <v>956.01691859431651</v>
      </c>
      <c r="AU25" s="139"/>
      <c r="AV25" s="139">
        <v>951.04305912576706</v>
      </c>
      <c r="AW25" s="139"/>
      <c r="AX25" s="139">
        <v>969.60072340257011</v>
      </c>
      <c r="AY25" s="139"/>
      <c r="AZ25" s="139">
        <v>987.05159133114284</v>
      </c>
      <c r="BA25" s="139"/>
      <c r="BB25" s="139">
        <v>989.47133531675615</v>
      </c>
    </row>
    <row r="26" spans="2:54" ht="15" x14ac:dyDescent="0.25">
      <c r="B26" s="55" t="s">
        <v>10</v>
      </c>
      <c r="C26" s="97"/>
      <c r="D26" s="199">
        <v>0.09</v>
      </c>
      <c r="E26" s="199">
        <v>0.77</v>
      </c>
      <c r="F26" s="199">
        <v>0.83</v>
      </c>
      <c r="G26" s="98">
        <f>G24/G27</f>
        <v>1.4357541899441342</v>
      </c>
      <c r="H26" s="97">
        <f t="shared" ref="H26:O26" si="31">H24/H27</f>
        <v>9.1891891891891897E-2</v>
      </c>
      <c r="I26" s="97">
        <f t="shared" si="31"/>
        <v>0.77777777777777779</v>
      </c>
      <c r="J26" s="97">
        <f t="shared" si="31"/>
        <v>0.76136363636363635</v>
      </c>
      <c r="K26" s="97">
        <f t="shared" si="31"/>
        <v>1.4482758620689655</v>
      </c>
      <c r="L26" s="97">
        <f>L24/L27</f>
        <v>0.57894736842105265</v>
      </c>
      <c r="M26" s="97">
        <f t="shared" si="31"/>
        <v>1.4674556213017751</v>
      </c>
      <c r="N26" s="97">
        <f t="shared" si="31"/>
        <v>0.61904761904761907</v>
      </c>
      <c r="O26" s="97">
        <f t="shared" si="31"/>
        <v>2.0654761904761907</v>
      </c>
      <c r="P26" s="99">
        <f t="shared" ref="P26:AG26" ca="1" si="32">P24/P27</f>
        <v>0.5178571428571429</v>
      </c>
      <c r="Q26" s="99">
        <f t="shared" ca="1" si="32"/>
        <v>1.8143712574850299</v>
      </c>
      <c r="R26" s="99">
        <f t="shared" ca="1" si="32"/>
        <v>0.70303030303030301</v>
      </c>
      <c r="S26" s="99">
        <f t="shared" ca="1" si="32"/>
        <v>1.3251533742331287</v>
      </c>
      <c r="T26" s="99">
        <f t="shared" ca="1" si="32"/>
        <v>0.34567901234567899</v>
      </c>
      <c r="U26" s="99">
        <f t="shared" ca="1" si="32"/>
        <v>1.5157232704402517</v>
      </c>
      <c r="V26" s="99">
        <f t="shared" ca="1" si="32"/>
        <v>0.56457856244302307</v>
      </c>
      <c r="W26" s="99">
        <f t="shared" ca="1" si="32"/>
        <v>1.9468646639199418</v>
      </c>
      <c r="X26" s="99">
        <f t="shared" ca="1" si="32"/>
        <v>0.31606380681515084</v>
      </c>
      <c r="Y26" s="99">
        <f t="shared" ca="1" si="32"/>
        <v>1.3679713978610779</v>
      </c>
      <c r="Z26" s="99">
        <f t="shared" ca="1" si="32"/>
        <v>0.69823360481173224</v>
      </c>
      <c r="AA26" s="99">
        <f t="shared" ca="1" si="32"/>
        <v>1.9348726392236573</v>
      </c>
      <c r="AB26" s="99">
        <f t="shared" ca="1" si="32"/>
        <v>-0.21696310960667775</v>
      </c>
      <c r="AC26" s="99">
        <f t="shared" ca="1" si="32"/>
        <v>1.4834374610169339</v>
      </c>
      <c r="AD26" s="99">
        <f t="shared" ca="1" si="32"/>
        <v>0.7793266103011991</v>
      </c>
      <c r="AE26" s="99">
        <f t="shared" ca="1" si="32"/>
        <v>2.1045731305011253</v>
      </c>
      <c r="AF26" s="99">
        <f t="shared" ca="1" si="32"/>
        <v>-0.22479795806279856</v>
      </c>
      <c r="AG26" s="99">
        <f t="shared" ca="1" si="32"/>
        <v>1.6121657217958871</v>
      </c>
      <c r="AI26" s="55" t="s">
        <v>113</v>
      </c>
      <c r="AJ26" s="179">
        <f>SUM(P21:S21)</f>
        <v>1041</v>
      </c>
      <c r="AK26" s="179">
        <f ca="1">AK22-AK25</f>
        <v>996.46820025567945</v>
      </c>
      <c r="AL26" s="180">
        <f ca="1">AL22-AL25</f>
        <v>1045.4387940286406</v>
      </c>
      <c r="AM26" s="180">
        <f ca="1">AM22-AM25</f>
        <v>1069.7974368183291</v>
      </c>
      <c r="AN26" s="180">
        <f ca="1">AN22-AN25</f>
        <v>1106.4367398362078</v>
      </c>
      <c r="AO26" s="180">
        <f ca="1">AO22-AO25</f>
        <v>1123.4502317480615</v>
      </c>
    </row>
    <row r="27" spans="2:54" x14ac:dyDescent="0.2">
      <c r="B27" s="36" t="s">
        <v>11</v>
      </c>
      <c r="D27" s="83">
        <f>D24/D26</f>
        <v>188.88888888888889</v>
      </c>
      <c r="E27" s="83">
        <f t="shared" ref="E27:F27" si="33">E24/E26</f>
        <v>180.51948051948051</v>
      </c>
      <c r="F27" s="83">
        <f t="shared" si="33"/>
        <v>157.83132530120483</v>
      </c>
      <c r="G27" s="190">
        <v>179</v>
      </c>
      <c r="H27" s="192">
        <v>185</v>
      </c>
      <c r="I27" s="192">
        <v>180</v>
      </c>
      <c r="J27" s="192">
        <v>176</v>
      </c>
      <c r="K27" s="192">
        <v>174</v>
      </c>
      <c r="L27" s="192">
        <v>171</v>
      </c>
      <c r="M27" s="192">
        <v>169</v>
      </c>
      <c r="N27" s="192">
        <v>168</v>
      </c>
      <c r="O27" s="192">
        <v>168</v>
      </c>
      <c r="P27" s="192">
        <v>168</v>
      </c>
      <c r="Q27" s="192">
        <v>167</v>
      </c>
      <c r="R27" s="192">
        <v>165</v>
      </c>
      <c r="S27" s="192">
        <v>163</v>
      </c>
      <c r="T27" s="192">
        <v>162</v>
      </c>
      <c r="U27" s="200">
        <v>159</v>
      </c>
      <c r="V27" s="100">
        <f t="shared" ref="V27:AG27" si="34">0.99*U27</f>
        <v>157.41</v>
      </c>
      <c r="W27" s="100">
        <f t="shared" si="34"/>
        <v>155.83590000000001</v>
      </c>
      <c r="X27" s="100">
        <f t="shared" si="34"/>
        <v>154.27754100000001</v>
      </c>
      <c r="Y27" s="100">
        <f t="shared" si="34"/>
        <v>152.73476559000002</v>
      </c>
      <c r="Z27" s="100">
        <f t="shared" si="34"/>
        <v>151.20741793410002</v>
      </c>
      <c r="AA27" s="100">
        <f t="shared" si="34"/>
        <v>149.69534375475902</v>
      </c>
      <c r="AB27" s="100">
        <f t="shared" si="34"/>
        <v>148.19839031721142</v>
      </c>
      <c r="AC27" s="100">
        <f t="shared" si="34"/>
        <v>146.71640641403931</v>
      </c>
      <c r="AD27" s="100">
        <f t="shared" si="34"/>
        <v>145.24924234989891</v>
      </c>
      <c r="AE27" s="100">
        <f t="shared" si="34"/>
        <v>143.79674992639991</v>
      </c>
      <c r="AF27" s="100">
        <f t="shared" si="34"/>
        <v>142.35878242713591</v>
      </c>
      <c r="AG27" s="100">
        <f t="shared" si="34"/>
        <v>140.93519460286456</v>
      </c>
      <c r="AI27" s="36" t="s">
        <v>65</v>
      </c>
      <c r="AJ27" s="89">
        <f ca="1">SUM(P22:S22)</f>
        <v>319</v>
      </c>
      <c r="AK27" s="89">
        <f ca="1">AK26*AK28</f>
        <v>239.15236806136306</v>
      </c>
      <c r="AL27" s="89">
        <f ca="1">AL28*AL26</f>
        <v>250.90531056687374</v>
      </c>
      <c r="AM27" s="89">
        <f ca="1">AM28*AM26</f>
        <v>256.75138483639898</v>
      </c>
      <c r="AN27" s="89">
        <f ca="1">AN28*AN26</f>
        <v>265.54481756068986</v>
      </c>
      <c r="AO27" s="89">
        <f ca="1">AO28*AO26</f>
        <v>269.62805561953473</v>
      </c>
    </row>
    <row r="28" spans="2:54" ht="15" x14ac:dyDescent="0.25">
      <c r="B28" s="55" t="s">
        <v>15</v>
      </c>
      <c r="D28" s="83">
        <f t="shared" ref="D28:AG28" si="35">D15+D12</f>
        <v>340</v>
      </c>
      <c r="E28" s="83">
        <f t="shared" si="35"/>
        <v>535</v>
      </c>
      <c r="F28" s="83">
        <f t="shared" si="35"/>
        <v>521</v>
      </c>
      <c r="G28" s="83">
        <f t="shared" si="35"/>
        <v>713</v>
      </c>
      <c r="H28" s="89">
        <f t="shared" si="35"/>
        <v>340</v>
      </c>
      <c r="I28" s="89">
        <f t="shared" si="35"/>
        <v>536</v>
      </c>
      <c r="J28" s="89">
        <f t="shared" si="35"/>
        <v>521</v>
      </c>
      <c r="K28" s="89">
        <f t="shared" si="35"/>
        <v>712</v>
      </c>
      <c r="L28" s="89">
        <f t="shared" si="35"/>
        <v>423</v>
      </c>
      <c r="M28" s="89">
        <f t="shared" si="35"/>
        <v>650</v>
      </c>
      <c r="N28" s="89">
        <f t="shared" si="35"/>
        <v>500</v>
      </c>
      <c r="O28" s="89">
        <f t="shared" si="35"/>
        <v>834</v>
      </c>
      <c r="P28" s="89">
        <f t="shared" si="35"/>
        <v>411</v>
      </c>
      <c r="Q28" s="89">
        <f t="shared" si="35"/>
        <v>693</v>
      </c>
      <c r="R28" s="89">
        <f t="shared" si="35"/>
        <v>501</v>
      </c>
      <c r="S28" s="89">
        <f t="shared" si="35"/>
        <v>659</v>
      </c>
      <c r="T28" s="89">
        <f t="shared" si="35"/>
        <v>348</v>
      </c>
      <c r="U28" s="79">
        <f t="shared" si="35"/>
        <v>604</v>
      </c>
      <c r="V28" s="79">
        <f t="shared" ca="1" si="35"/>
        <v>400.43462041336352</v>
      </c>
      <c r="W28" s="79">
        <f t="shared" ca="1" si="35"/>
        <v>682.69921984231803</v>
      </c>
      <c r="X28" s="79">
        <f t="shared" ca="1" si="35"/>
        <v>305.67725015071119</v>
      </c>
      <c r="Y28" s="79">
        <f t="shared" ca="1" si="35"/>
        <v>532.53230998175832</v>
      </c>
      <c r="Z28" s="79">
        <f t="shared" ca="1" si="35"/>
        <v>410.9408215873695</v>
      </c>
      <c r="AA28" s="79">
        <f t="shared" ca="1" si="35"/>
        <v>702.94663596087264</v>
      </c>
      <c r="AB28" s="79">
        <f t="shared" ca="1" si="35"/>
        <v>19.928653155360067</v>
      </c>
      <c r="AC28" s="79">
        <f t="shared" ca="1" si="35"/>
        <v>546.92411354259343</v>
      </c>
      <c r="AD28" s="79">
        <f t="shared" ca="1" si="35"/>
        <v>424.11678665261059</v>
      </c>
      <c r="AE28" s="79">
        <f t="shared" ca="1" si="35"/>
        <v>723.95132013906687</v>
      </c>
      <c r="AF28" s="79">
        <f t="shared" ca="1" si="35"/>
        <v>20.128153155360053</v>
      </c>
      <c r="AG28" s="79">
        <f t="shared" ca="1" si="35"/>
        <v>550.35698781759334</v>
      </c>
      <c r="AI28" s="84" t="s">
        <v>19</v>
      </c>
      <c r="AJ28" s="198">
        <v>0.24</v>
      </c>
      <c r="AK28" s="198">
        <v>0.24</v>
      </c>
      <c r="AL28" s="198">
        <v>0.24</v>
      </c>
      <c r="AM28" s="198">
        <v>0.24</v>
      </c>
      <c r="AN28" s="198">
        <v>0.24</v>
      </c>
      <c r="AO28" s="198">
        <v>0.24</v>
      </c>
    </row>
    <row r="29" spans="2:54" ht="15" x14ac:dyDescent="0.25">
      <c r="B29" s="55" t="s">
        <v>105</v>
      </c>
      <c r="D29" s="83"/>
      <c r="E29" s="83"/>
      <c r="F29" s="83"/>
      <c r="G29" s="83"/>
      <c r="P29" s="99">
        <f t="shared" ref="P29:AG29" ca="1" si="36">(P24+(1-P23)*P13)/P27</f>
        <v>0.5178571428571429</v>
      </c>
      <c r="Q29" s="99">
        <f t="shared" ca="1" si="36"/>
        <v>1.8143712574850299</v>
      </c>
      <c r="R29" s="99">
        <f t="shared" ca="1" si="36"/>
        <v>0.70303030303030301</v>
      </c>
      <c r="S29" s="99">
        <f t="shared" ca="1" si="36"/>
        <v>1.7058604209741381</v>
      </c>
      <c r="T29" s="99">
        <f t="shared" ca="1" si="36"/>
        <v>0.60231949120838013</v>
      </c>
      <c r="U29" s="99">
        <f t="shared" ca="1" si="36"/>
        <v>1.5485717623692974</v>
      </c>
      <c r="V29" s="99">
        <f t="shared" ca="1" si="36"/>
        <v>0.63351115630618293</v>
      </c>
      <c r="W29" s="99">
        <f t="shared" ca="1" si="36"/>
        <v>2.0495588056420995</v>
      </c>
      <c r="X29" s="99">
        <f t="shared" ca="1" si="36"/>
        <v>0.3775931618882914</v>
      </c>
      <c r="Y29" s="99">
        <f t="shared" ca="1" si="36"/>
        <v>1.4353464081296878</v>
      </c>
      <c r="Z29" s="99">
        <f t="shared" ca="1" si="36"/>
        <v>0.77101166123483766</v>
      </c>
      <c r="AA29" s="99">
        <f t="shared" ca="1" si="36"/>
        <v>2.0438297348212382</v>
      </c>
      <c r="AB29" s="99">
        <f t="shared" ca="1" si="36"/>
        <v>-0.21287075746505285</v>
      </c>
      <c r="AC29" s="99">
        <f t="shared" ca="1" si="36"/>
        <v>1.5545674597067147</v>
      </c>
      <c r="AD29" s="99">
        <f t="shared" ca="1" si="36"/>
        <v>0.85616551660698315</v>
      </c>
      <c r="AE29" s="99">
        <f t="shared" ca="1" si="36"/>
        <v>2.2196325865505031</v>
      </c>
      <c r="AF29" s="99">
        <f t="shared" ca="1" si="36"/>
        <v>-0.22479795806279856</v>
      </c>
      <c r="AG29" s="99">
        <f t="shared" ca="1" si="36"/>
        <v>1.6121657217958871</v>
      </c>
      <c r="AI29" s="55" t="s">
        <v>9</v>
      </c>
      <c r="AJ29" s="179">
        <f ca="1">SUM(P24:S24)</f>
        <v>722</v>
      </c>
      <c r="AK29" s="179">
        <f ca="1">AK26-AK27</f>
        <v>757.31583219431639</v>
      </c>
      <c r="AL29" s="179">
        <f ca="1">AL26-AL27</f>
        <v>794.53348346176688</v>
      </c>
      <c r="AM29" s="179">
        <f ca="1">AM26-AM27</f>
        <v>813.04605198193008</v>
      </c>
      <c r="AN29" s="179">
        <f ca="1">AN26-AN27</f>
        <v>840.89192227551803</v>
      </c>
      <c r="AO29" s="179">
        <f ca="1">AO26-AO27</f>
        <v>853.82217612852673</v>
      </c>
    </row>
    <row r="30" spans="2:54" x14ac:dyDescent="0.2">
      <c r="B30" s="75"/>
      <c r="C30" s="75"/>
      <c r="D30" s="76" t="s">
        <v>61</v>
      </c>
      <c r="E30" s="76" t="s">
        <v>62</v>
      </c>
      <c r="F30" s="76" t="s">
        <v>63</v>
      </c>
      <c r="G30" s="76" t="s">
        <v>64</v>
      </c>
      <c r="H30" s="75" t="s">
        <v>35</v>
      </c>
      <c r="I30" s="75" t="s">
        <v>36</v>
      </c>
      <c r="J30" s="75" t="s">
        <v>37</v>
      </c>
      <c r="K30" s="75" t="s">
        <v>38</v>
      </c>
      <c r="L30" s="75" t="s">
        <v>39</v>
      </c>
      <c r="M30" s="75" t="s">
        <v>40</v>
      </c>
      <c r="N30" s="75" t="s">
        <v>41</v>
      </c>
      <c r="O30" s="75" t="s">
        <v>42</v>
      </c>
      <c r="P30" s="77" t="s">
        <v>43</v>
      </c>
      <c r="Q30" s="77" t="s">
        <v>44</v>
      </c>
      <c r="R30" s="77" t="s">
        <v>45</v>
      </c>
      <c r="S30" s="77" t="s">
        <v>46</v>
      </c>
      <c r="T30" s="77" t="s">
        <v>47</v>
      </c>
      <c r="U30" s="77" t="s">
        <v>48</v>
      </c>
      <c r="V30" s="78" t="s">
        <v>49</v>
      </c>
      <c r="W30" s="78" t="s">
        <v>50</v>
      </c>
      <c r="X30" s="102" t="s">
        <v>51</v>
      </c>
      <c r="Y30" s="102" t="s">
        <v>52</v>
      </c>
      <c r="Z30" s="102" t="s">
        <v>53</v>
      </c>
      <c r="AA30" s="102" t="s">
        <v>54</v>
      </c>
      <c r="AB30" s="102" t="s">
        <v>55</v>
      </c>
      <c r="AC30" s="102" t="s">
        <v>56</v>
      </c>
      <c r="AD30" s="102" t="s">
        <v>57</v>
      </c>
      <c r="AE30" s="102" t="s">
        <v>58</v>
      </c>
      <c r="AF30" s="102" t="s">
        <v>59</v>
      </c>
      <c r="AG30" s="102" t="s">
        <v>60</v>
      </c>
      <c r="AI30" s="84" t="s">
        <v>2</v>
      </c>
      <c r="AJ30" s="85">
        <f t="shared" ref="AJ30:AO30" ca="1" si="37">AJ29/AJ10</f>
        <v>3.5691334223144987E-2</v>
      </c>
      <c r="AK30" s="85">
        <f t="shared" ca="1" si="37"/>
        <v>3.7315168976301515E-2</v>
      </c>
      <c r="AL30" s="85">
        <f t="shared" ca="1" si="37"/>
        <v>3.8761377873532163E-2</v>
      </c>
      <c r="AM30" s="85">
        <f t="shared" ca="1" si="37"/>
        <v>3.9271797000647451E-2</v>
      </c>
      <c r="AN30" s="85">
        <f t="shared" ca="1" si="37"/>
        <v>4.03144514377059E-2</v>
      </c>
      <c r="AO30" s="85">
        <f t="shared" ca="1" si="37"/>
        <v>4.0730706453996735E-2</v>
      </c>
    </row>
    <row r="31" spans="2:54" ht="15" x14ac:dyDescent="0.25">
      <c r="B31" s="55" t="s">
        <v>13</v>
      </c>
      <c r="D31" s="106"/>
      <c r="E31" s="106"/>
      <c r="F31" s="106"/>
      <c r="G31" s="106"/>
      <c r="AI31" s="55" t="s">
        <v>10</v>
      </c>
      <c r="AJ31" s="99">
        <f ca="1">SUM(P26:S26)</f>
        <v>4.3604120776056048</v>
      </c>
      <c r="AK31" s="99">
        <f ca="1">AK29/AVERAGE(T27:W27)</f>
        <v>4.7761654096262438</v>
      </c>
      <c r="AL31" s="99">
        <f ca="1">AL29/((AVERAGE($T$27:$W$27)*0.99))</f>
        <v>5.0615010626244796</v>
      </c>
      <c r="AM31" s="99">
        <f ca="1">AM29/((AVERAGE($T$27:$W$27)*0.99^2))</f>
        <v>5.2317511562456041</v>
      </c>
      <c r="AN31" s="99">
        <f ca="1">AN29/((AVERAGE($T$27:$W$27)*0.99^3))</f>
        <v>5.4655883589622549</v>
      </c>
      <c r="AO31" s="99">
        <f ca="1">AO29/((AVERAGE($T$27:$W$27)*0.99^4))</f>
        <v>5.6056886799598997</v>
      </c>
    </row>
    <row r="32" spans="2:54" x14ac:dyDescent="0.2">
      <c r="B32" s="88" t="s">
        <v>14</v>
      </c>
      <c r="D32" s="76"/>
      <c r="E32" s="76"/>
      <c r="F32" s="76"/>
      <c r="G32" s="76"/>
      <c r="L32" s="37">
        <f t="shared" ref="L32:U32" si="38">(L3/H3)-1</f>
        <v>-3.9526686807653588E-2</v>
      </c>
      <c r="M32" s="37">
        <f t="shared" si="38"/>
        <v>-8.369201339072263E-3</v>
      </c>
      <c r="N32" s="37">
        <f t="shared" si="38"/>
        <v>-3.4666050381326752E-3</v>
      </c>
      <c r="O32" s="37">
        <f t="shared" si="38"/>
        <v>8.9766317485898472E-2</v>
      </c>
      <c r="P32" s="37">
        <f t="shared" si="38"/>
        <v>3.6173001310616071E-2</v>
      </c>
      <c r="Q32" s="37">
        <f t="shared" si="38"/>
        <v>3.9305522064142728E-2</v>
      </c>
      <c r="R32" s="37">
        <f t="shared" si="38"/>
        <v>1.321892393320967E-2</v>
      </c>
      <c r="S32" s="37">
        <f t="shared" si="38"/>
        <v>-3.3569949719018055E-2</v>
      </c>
      <c r="T32" s="37">
        <f t="shared" si="38"/>
        <v>-3.3392360232734619E-2</v>
      </c>
      <c r="U32" s="37">
        <f t="shared" si="38"/>
        <v>-3.2714617169373517E-2</v>
      </c>
      <c r="AJ32" s="100"/>
      <c r="AK32" s="100"/>
      <c r="AL32" s="100"/>
      <c r="AM32" s="100"/>
    </row>
    <row r="33" spans="2:41" ht="15" x14ac:dyDescent="0.25">
      <c r="B33" s="88" t="s">
        <v>33</v>
      </c>
      <c r="D33" s="76"/>
      <c r="E33" s="76"/>
      <c r="F33" s="76"/>
      <c r="G33" s="76"/>
      <c r="L33" s="37"/>
      <c r="M33" s="37"/>
      <c r="N33" s="37"/>
      <c r="O33" s="37"/>
      <c r="P33" s="37">
        <f>P4/L4-1</f>
        <v>2.0000000000000018E-2</v>
      </c>
      <c r="Q33" s="37">
        <f t="shared" ref="Q33:U33" si="39">Q4/M4-1</f>
        <v>4.8387096774193505E-2</v>
      </c>
      <c r="R33" s="37">
        <f t="shared" si="39"/>
        <v>1.5686274509803866E-2</v>
      </c>
      <c r="S33" s="37">
        <f t="shared" si="39"/>
        <v>-2.3728813559321993E-2</v>
      </c>
      <c r="T33" s="37">
        <f t="shared" si="39"/>
        <v>4.3137254901960853E-2</v>
      </c>
      <c r="U33" s="37">
        <f t="shared" si="39"/>
        <v>3.8461538461538325E-3</v>
      </c>
      <c r="AI33" s="55" t="s">
        <v>15</v>
      </c>
      <c r="AJ33" s="122">
        <f>SUM(P28:S28)</f>
        <v>2264</v>
      </c>
      <c r="AK33" s="122">
        <f ca="1">AK20+AK17</f>
        <v>2035.1338402556794</v>
      </c>
      <c r="AL33" s="122">
        <f ca="1">AL20+AL17</f>
        <v>2055.1126064286409</v>
      </c>
      <c r="AM33" s="122">
        <f ca="1">AM20+AM17</f>
        <v>2087.5679873423292</v>
      </c>
      <c r="AN33" s="122">
        <f ca="1">AN20+AN17</f>
        <v>2119.911407088468</v>
      </c>
      <c r="AO33" s="122">
        <f ca="1">AO20+AO17</f>
        <v>2130.5109641239096</v>
      </c>
    </row>
    <row r="34" spans="2:41" ht="15" x14ac:dyDescent="0.25">
      <c r="B34" s="88" t="s">
        <v>28</v>
      </c>
      <c r="D34" s="201">
        <v>-3.9E-2</v>
      </c>
      <c r="E34" s="201">
        <v>-1.8000000000000002E-2</v>
      </c>
      <c r="F34" s="201">
        <v>-1.7000000000000001E-2</v>
      </c>
      <c r="G34" s="201">
        <v>-2.2000000000000002E-2</v>
      </c>
      <c r="H34" s="173">
        <v>-2.7000000000000003E-2</v>
      </c>
      <c r="I34" s="173">
        <v>-4.0000000000000001E-3</v>
      </c>
      <c r="J34" s="173">
        <v>1E-3</v>
      </c>
      <c r="K34" s="173">
        <v>6.3E-2</v>
      </c>
      <c r="L34" s="173">
        <v>3.6000000000000004E-2</v>
      </c>
      <c r="M34" s="173">
        <v>4.2999999999999997E-2</v>
      </c>
      <c r="N34" s="173">
        <v>0.01</v>
      </c>
      <c r="O34" s="173">
        <v>-0.01</v>
      </c>
      <c r="P34" s="173">
        <v>-3.4000000000000002E-2</v>
      </c>
      <c r="Q34" s="202">
        <v>4.2999999999999997E-2</v>
      </c>
      <c r="R34" s="202">
        <v>0.01</v>
      </c>
      <c r="S34" s="202">
        <v>-0.01</v>
      </c>
      <c r="T34" s="202">
        <v>-3.4000000000000002E-2</v>
      </c>
      <c r="U34" s="202">
        <v>-2.9000000000000001E-2</v>
      </c>
      <c r="V34" s="174">
        <f ca="1">OFFSET(Assumptions!E2,_xlfn.IFS($AK$3="Bull",1,$AK$3="Base",2,$AK$3="Bear",3,$AK$3="Zero-Growth",4),0)</f>
        <v>0.03</v>
      </c>
      <c r="W34" s="174">
        <f ca="1">OFFSET(Assumptions!F2,_xlfn.IFS($AK$3="Bull",1,$AK$3="Base",2,$AK$3="Bear",3,$AK$3="Zero-Growth",4),0)</f>
        <v>0.03</v>
      </c>
      <c r="X34" s="38">
        <f ca="1">OFFSET(Assumptions!G2,_xlfn.IFS($AK$3="Bull",1,$AK$3="Base",2,$AK$3="Bear",3,$AK$3="Zero-Growth",4),0)</f>
        <v>0.02</v>
      </c>
      <c r="Y34" s="38">
        <f ca="1">OFFSET(Assumptions!H2,_xlfn.IFS($AK$3="Bull",1,$AK$3="Base",2,$AK$3="Bear",3,$AK$3="Zero-Growth",4),0)</f>
        <v>0.02</v>
      </c>
      <c r="Z34" s="38">
        <f ca="1">OFFSET(Assumptions!I2,_xlfn.IFS($AK$3="Bull",1,$AK$3="Base",2,$AK$3="Bear",3,$AK$3="Zero-Growth",4),0)</f>
        <v>1.4999999999999999E-2</v>
      </c>
      <c r="AA34" s="38">
        <f ca="1">OFFSET(Assumptions!J2,_xlfn.IFS($AK$3="Bull",1,$AK$3="Base",2,$AK$3="Bear",3,$AK$3="Zero-Growth",4),0)</f>
        <v>0.02</v>
      </c>
      <c r="AB34" s="38">
        <f ca="1">OFFSET(Assumptions!K2,_xlfn.IFS($AK$3="Bull",1,$AK$3="Base",2,$AK$3="Bear",3,$AK$3="Zero-Growth",4),0)</f>
        <v>1.4999999999999999E-2</v>
      </c>
      <c r="AC34" s="38">
        <f ca="1">OFFSET(Assumptions!L2,_xlfn.IFS($AK$3="Bull",1,$AK$3="Base",2,$AK$3="Bear",3,$AK$3="Zero-Growth",4),0)</f>
        <v>1.4999999999999999E-2</v>
      </c>
      <c r="AD34" s="38">
        <f ca="1">OFFSET(Assumptions!M2,_xlfn.IFS($AK$3="Bull",1,$AK$3="Base",2,$AK$3="Bear",3,$AK$3="Zero-Growth",4),0)</f>
        <v>1.4999999999999999E-2</v>
      </c>
      <c r="AE34" s="38">
        <f ca="1">OFFSET(Assumptions!N2,_xlfn.IFS($AK$3="Bull",1,$AK$3="Base",2,$AK$3="Bear",3,$AK$3="Zero-Growth",4),0)</f>
        <v>1.4999999999999999E-2</v>
      </c>
      <c r="AF34" s="38">
        <f ca="1">OFFSET(Assumptions!O2,_xlfn.IFS($AK$3="Bull",1,$AK$3="Base",2,$AK$3="Bear",3),0)</f>
        <v>0</v>
      </c>
      <c r="AG34" s="38">
        <f ca="1">OFFSET(Assumptions!P2,_xlfn.IFS($AK$3="Bull",1,$AK$3="Base",2,$AK$3="Bear",3),0)</f>
        <v>0</v>
      </c>
      <c r="AI34" s="55" t="s">
        <v>105</v>
      </c>
      <c r="AJ34" s="99">
        <f ca="1">SUM(P29:S29)</f>
        <v>4.7411191243466142</v>
      </c>
      <c r="AK34" s="99">
        <f ca="1">(AK29+((1-AK28)*AK18))/AVERAGE(T27:W27)</f>
        <v>5.2139395511697675</v>
      </c>
      <c r="AL34" s="99">
        <f ca="1">(AL29+(1-AL28)*AL18)/(AVERAGE(T27:W27)*0.99)</f>
        <v>5.3592258354753417</v>
      </c>
      <c r="AM34" s="99">
        <f ca="1">(AM29+(1-AM28)*AM18)/(AVERAGE(U27:X27)*0.99^2)</f>
        <v>5.6037204187030625</v>
      </c>
      <c r="AN34" s="99">
        <f ca="1">(AN29+(1-AN28)*AN18)/(AVERAGE(V27:Y27)*0.99^3)</f>
        <v>5.9049244277166366</v>
      </c>
      <c r="AO34" s="99">
        <f ca="1">(AO29+(1-AO28)*AO18)/(AVERAGE(W27:Z27)*0.99^4)</f>
        <v>6.1141144334675142</v>
      </c>
    </row>
    <row r="35" spans="2:41" x14ac:dyDescent="0.2">
      <c r="B35" s="88" t="s">
        <v>15</v>
      </c>
      <c r="D35" s="76"/>
      <c r="E35" s="76"/>
      <c r="F35" s="76"/>
      <c r="G35" s="76"/>
      <c r="H35" s="105"/>
      <c r="L35" s="39">
        <f t="shared" ref="L35:U35" si="40">L28/H28-1</f>
        <v>0.24411764705882355</v>
      </c>
      <c r="M35" s="39">
        <f t="shared" si="40"/>
        <v>0.21268656716417911</v>
      </c>
      <c r="N35" s="39">
        <f t="shared" si="40"/>
        <v>-4.0307101727447225E-2</v>
      </c>
      <c r="O35" s="39">
        <f t="shared" si="40"/>
        <v>0.1713483146067416</v>
      </c>
      <c r="P35" s="39">
        <f t="shared" si="40"/>
        <v>-2.8368794326241176E-2</v>
      </c>
      <c r="Q35" s="39">
        <f t="shared" si="40"/>
        <v>6.615384615384623E-2</v>
      </c>
      <c r="R35" s="39">
        <f t="shared" si="40"/>
        <v>2.0000000000000018E-3</v>
      </c>
      <c r="S35" s="39">
        <f t="shared" si="40"/>
        <v>-0.20983213429256597</v>
      </c>
      <c r="T35" s="39">
        <f t="shared" si="40"/>
        <v>-0.15328467153284675</v>
      </c>
      <c r="U35" s="39">
        <f t="shared" si="40"/>
        <v>-0.12842712842712845</v>
      </c>
    </row>
    <row r="36" spans="2:41" ht="15" x14ac:dyDescent="0.25">
      <c r="B36" s="88" t="s">
        <v>12</v>
      </c>
      <c r="D36" s="203">
        <v>-0.62139999999999995</v>
      </c>
      <c r="E36" s="203">
        <v>-0.28770000000000001</v>
      </c>
      <c r="F36" s="203">
        <v>-2.2700000000000001E-2</v>
      </c>
      <c r="G36" s="203">
        <v>0.35099999999999998</v>
      </c>
      <c r="L36" s="39">
        <f t="shared" ref="L36:U36" si="41">L15/H15-1</f>
        <v>0.74528301886792447</v>
      </c>
      <c r="M36" s="39">
        <f t="shared" si="41"/>
        <v>0.34768211920529812</v>
      </c>
      <c r="N36" s="39">
        <f t="shared" si="41"/>
        <v>-0.11072664359861595</v>
      </c>
      <c r="O36" s="39">
        <f t="shared" si="41"/>
        <v>0.19873150105708248</v>
      </c>
      <c r="P36" s="39">
        <f t="shared" si="41"/>
        <v>-9.1891891891891841E-2</v>
      </c>
      <c r="Q36" s="39">
        <f t="shared" si="41"/>
        <v>0.11056511056511065</v>
      </c>
      <c r="R36" s="39">
        <f t="shared" si="41"/>
        <v>3.8910505836575737E-3</v>
      </c>
      <c r="S36" s="39">
        <f t="shared" si="41"/>
        <v>-0.2592592592592593</v>
      </c>
      <c r="T36" s="39">
        <f t="shared" si="41"/>
        <v>-0.29761904761904767</v>
      </c>
      <c r="U36" s="39">
        <f t="shared" si="41"/>
        <v>-0.16814159292035402</v>
      </c>
      <c r="AI36" s="55" t="s">
        <v>66</v>
      </c>
      <c r="AK36" s="108">
        <f ca="1">-0.04*AK10</f>
        <v>-811.8048</v>
      </c>
      <c r="AL36" s="108">
        <f ca="1">-0.04*AL10</f>
        <v>-819.92284799999993</v>
      </c>
      <c r="AM36" s="108">
        <f ca="1">-0.04*AM10</f>
        <v>-828.12207648000003</v>
      </c>
      <c r="AN36" s="108">
        <f ca="1">-0.04*AN10</f>
        <v>-834.33299205360004</v>
      </c>
      <c r="AO36" s="108">
        <f ca="1">-0.04*AO10</f>
        <v>-838.50465701386804</v>
      </c>
    </row>
    <row r="37" spans="2:41" ht="15" x14ac:dyDescent="0.25">
      <c r="B37" s="88" t="s">
        <v>16</v>
      </c>
      <c r="D37" s="203">
        <v>-0.86609999999999998</v>
      </c>
      <c r="E37" s="203">
        <v>7.6899999999999996E-2</v>
      </c>
      <c r="F37" s="203">
        <v>0.21659999999999999</v>
      </c>
      <c r="G37" s="203">
        <v>-0.123</v>
      </c>
      <c r="L37" s="39">
        <f t="shared" ref="L37:O37" si="42">L24/H24-1</f>
        <v>4.8235294117647056</v>
      </c>
      <c r="M37" s="39">
        <f t="shared" si="42"/>
        <v>0.77142857142857135</v>
      </c>
      <c r="N37" s="39">
        <f t="shared" si="42"/>
        <v>-0.22388059701492535</v>
      </c>
      <c r="O37" s="39">
        <f t="shared" si="42"/>
        <v>0.37698412698412698</v>
      </c>
      <c r="P37" s="39">
        <f ca="1">P24/L24-1</f>
        <v>-0.12121212121212122</v>
      </c>
      <c r="Q37" s="39">
        <f ca="1">Q24/M24-1</f>
        <v>0.22177419354838701</v>
      </c>
      <c r="R37" s="39">
        <f ca="1">R24/N24-1</f>
        <v>0.11538461538461542</v>
      </c>
      <c r="S37" s="39">
        <f ca="1">S24/O24-1</f>
        <v>-0.37752161383285299</v>
      </c>
      <c r="T37" s="39">
        <f ca="1">T24/P24-1</f>
        <v>-0.35632183908045978</v>
      </c>
      <c r="U37" s="39">
        <f ca="1">U24/Q24-1</f>
        <v>-0.20462046204620465</v>
      </c>
      <c r="AI37" s="55" t="s">
        <v>15</v>
      </c>
      <c r="AK37" s="122">
        <f ca="1">AK20+AK17</f>
        <v>2035.1338402556794</v>
      </c>
      <c r="AL37" s="122">
        <f ca="1">AL20+AL17</f>
        <v>2055.1126064286409</v>
      </c>
      <c r="AM37" s="122">
        <f ca="1">AM20+AM17</f>
        <v>2087.5679873423292</v>
      </c>
      <c r="AN37" s="122">
        <f ca="1">AN20+AN17</f>
        <v>2119.911407088468</v>
      </c>
      <c r="AO37" s="122">
        <f ca="1">AO20+AO17</f>
        <v>2130.5109641239096</v>
      </c>
    </row>
    <row r="38" spans="2:41" x14ac:dyDescent="0.2">
      <c r="D38" s="106"/>
      <c r="E38" s="106"/>
      <c r="F38" s="106"/>
      <c r="G38" s="106"/>
    </row>
    <row r="39" spans="2:41" ht="15" x14ac:dyDescent="0.25">
      <c r="B39" s="55" t="s">
        <v>17</v>
      </c>
      <c r="D39" s="106"/>
      <c r="E39" s="106"/>
      <c r="F39" s="106"/>
      <c r="G39" s="106"/>
    </row>
    <row r="40" spans="2:41" x14ac:dyDescent="0.2">
      <c r="B40" s="88" t="s">
        <v>4</v>
      </c>
      <c r="D40" s="106">
        <f>D11/D3</f>
        <v>0.25377643504531722</v>
      </c>
      <c r="E40" s="106">
        <f>E11/E3</f>
        <v>0.23601147776183645</v>
      </c>
      <c r="F40" s="106">
        <f>F11/F3</f>
        <v>0.2495955627455512</v>
      </c>
      <c r="G40" s="106">
        <f>G11/G3</f>
        <v>0.21917808219178081</v>
      </c>
      <c r="L40" s="37">
        <f t="shared" ref="L40:U40" si="43">L11/L3</f>
        <v>0.31821756225425951</v>
      </c>
      <c r="M40" s="37">
        <f t="shared" si="43"/>
        <v>0.29418857005063903</v>
      </c>
      <c r="N40" s="37">
        <f t="shared" si="43"/>
        <v>0.31076066790352502</v>
      </c>
      <c r="O40" s="37">
        <f t="shared" si="43"/>
        <v>0.25524992605737945</v>
      </c>
      <c r="P40" s="37">
        <f t="shared" si="43"/>
        <v>0.31849228434100685</v>
      </c>
      <c r="Q40" s="37">
        <f t="shared" si="43"/>
        <v>0.29512761020881673</v>
      </c>
      <c r="R40" s="37">
        <f t="shared" si="43"/>
        <v>0.31471732661936369</v>
      </c>
      <c r="S40" s="37">
        <f t="shared" si="43"/>
        <v>0.25921958684009183</v>
      </c>
      <c r="T40" s="37">
        <f t="shared" si="43"/>
        <v>0.33368228212509815</v>
      </c>
      <c r="U40" s="37">
        <f t="shared" si="43"/>
        <v>0.30438954185656031</v>
      </c>
      <c r="V40" s="176">
        <f ca="1">R40+OFFSET(Assumptions!E7,_xlfn.IFS($AK$4="Bull",1,$AK$4="Base",2,$AK$4="Bear",3,$AK$4="Zero-Growth",4),0)</f>
        <v>0.31821732661936369</v>
      </c>
      <c r="W40" s="176">
        <f ca="1">S40+OFFSET(Assumptions!F7,_xlfn.IFS($AK$4="Bull",1,$AK$4="Base",2,$AK$4="Bear",3,$AK$4="Zero-Growth",4),0)</f>
        <v>0.26271958684009183</v>
      </c>
      <c r="X40" s="37">
        <f ca="1">T40+OFFSET(Assumptions!G7,_xlfn.IFS($AK$4="Bull",1,$AK$4="Base",2,$AK$4="Bear",3,$AK$4="Zero-Growth",4),0)</f>
        <v>0.33268228212509815</v>
      </c>
      <c r="Y40" s="37">
        <f ca="1">U40+OFFSET(Assumptions!H7,_xlfn.IFS($AK$4="Bull",1,$AK$4="Base",2,$AK$4="Bear",3,$AK$4="Zero-Growth",4),0)</f>
        <v>0.30338954185656031</v>
      </c>
      <c r="Z40" s="37">
        <f ca="1">V40+OFFSET(Assumptions!I7,_xlfn.IFS($AK$4="Bull",1,$AK$4="Base",2,$AK$4="Bear",3,$AK$4="Zero-Growth",4),0)</f>
        <v>0.31721732661936369</v>
      </c>
      <c r="AA40" s="37">
        <f ca="1">W40+OFFSET(Assumptions!J7,_xlfn.IFS($AK$4="Bull",1,$AK$4="Base",2,$AK$4="Bear",3,$AK$4="Zero-Growth",4),0)</f>
        <v>0.26171958684009183</v>
      </c>
      <c r="AB40" s="37">
        <f ca="1">X40+OFFSET(Assumptions!K7,_xlfn.IFS($AK$4="Bull",1,$AK$4="Base",2,$AK$4="Bear",3,$AK$4="Zero-Growth",4),0)</f>
        <v>0.33168228212509815</v>
      </c>
      <c r="AC40" s="37">
        <f ca="1">Y40+OFFSET(Assumptions!L7,_xlfn.IFS($AK$4="Bull",1,$AK$4="Base",2,$AK$4="Bear",3,$AK$4="Zero-Growth",4),0)</f>
        <v>0.30238954185656031</v>
      </c>
      <c r="AD40" s="37">
        <f ca="1">Z40+OFFSET(Assumptions!M7,_xlfn.IFS($AK$4="Bull",1,$AK$4="Base",2,$AK$4="Bear",3,$AK$4="Zero-Growth",4),0)</f>
        <v>0.31621732661936369</v>
      </c>
      <c r="AE40" s="37">
        <f ca="1">AA40+OFFSET(Assumptions!N7,_xlfn.IFS($AK$4="Bull",1,$AK$4="Base",2,$AK$4="Bear",3,$AK$4="Zero-Growth",4),0)</f>
        <v>0.26071958684009183</v>
      </c>
      <c r="AF40" s="37">
        <f ca="1">AB40+OFFSET(Assumptions!O7,_xlfn.IFS($AK$4="Bull",1,$AK$4="Base",2,$AK$4="Bear",3),0)</f>
        <v>0.33418228212509815</v>
      </c>
      <c r="AG40" s="37">
        <f ca="1">AC40+OFFSET(Assumptions!P7,_xlfn.IFS($AK$4="Bull",1,$AK$4="Base",2,$AK$4="Bear",3),0)</f>
        <v>0.30488954185656031</v>
      </c>
      <c r="AJ40" s="37"/>
    </row>
    <row r="41" spans="2:41" x14ac:dyDescent="0.2">
      <c r="B41" s="88" t="s">
        <v>18</v>
      </c>
      <c r="D41" s="106">
        <f t="shared" ref="D41:G42" si="44">D12/D6</f>
        <v>9.1406249999999994E-2</v>
      </c>
      <c r="E41" s="106">
        <f t="shared" si="44"/>
        <v>9.2417061611374404E-2</v>
      </c>
      <c r="F41" s="106">
        <f t="shared" si="44"/>
        <v>8.639705882352941E-2</v>
      </c>
      <c r="G41" s="106">
        <f t="shared" si="44"/>
        <v>5.6873184898354308E-2</v>
      </c>
      <c r="L41" s="37">
        <f t="shared" ref="L41:U41" si="45">L12/L3</f>
        <v>6.2385321100917435E-2</v>
      </c>
      <c r="M41" s="37">
        <f t="shared" si="45"/>
        <v>5.8596575837955148E-2</v>
      </c>
      <c r="N41" s="37">
        <f t="shared" si="45"/>
        <v>5.6354359925788494E-2</v>
      </c>
      <c r="O41" s="37">
        <f t="shared" si="45"/>
        <v>3.9485359361135758E-2</v>
      </c>
      <c r="P41" s="37">
        <f t="shared" si="45"/>
        <v>6.1472299519352389E-2</v>
      </c>
      <c r="Q41" s="37">
        <f t="shared" si="45"/>
        <v>5.591647331786543E-2</v>
      </c>
      <c r="R41" s="37">
        <f t="shared" si="45"/>
        <v>5.5619134813458454E-2</v>
      </c>
      <c r="S41" s="37">
        <f t="shared" si="45"/>
        <v>3.6572302983932672E-2</v>
      </c>
      <c r="T41" s="37">
        <f t="shared" si="45"/>
        <v>6.019366657942947E-2</v>
      </c>
      <c r="U41" s="37">
        <f t="shared" si="45"/>
        <v>5.4689373950587671E-2</v>
      </c>
      <c r="V41" s="175">
        <v>4.5999999999999999E-2</v>
      </c>
      <c r="W41" s="175">
        <v>3.7999999999999999E-2</v>
      </c>
      <c r="X41" s="175">
        <v>4.5999999999999999E-2</v>
      </c>
      <c r="Y41" s="175">
        <v>4.5999999999999999E-2</v>
      </c>
      <c r="Z41" s="175">
        <v>4.5999999999999999E-2</v>
      </c>
      <c r="AA41" s="175">
        <v>3.7999999999999999E-2</v>
      </c>
      <c r="AB41" s="175">
        <v>4.5999999999999999E-2</v>
      </c>
      <c r="AC41" s="175">
        <v>4.5999999999999999E-2</v>
      </c>
      <c r="AD41" s="175">
        <v>4.5999999999999999E-2</v>
      </c>
      <c r="AE41" s="175">
        <v>3.7999999999999999E-2</v>
      </c>
      <c r="AF41" s="175">
        <v>4.5999999999999999E-2</v>
      </c>
      <c r="AG41" s="37">
        <f t="shared" ref="AG41" si="46">AB41-0.002</f>
        <v>4.3999999999999997E-2</v>
      </c>
      <c r="AJ41" s="37"/>
    </row>
    <row r="42" spans="2:41" x14ac:dyDescent="0.2">
      <c r="B42" s="88" t="s">
        <v>6</v>
      </c>
      <c r="D42" s="106">
        <f t="shared" si="44"/>
        <v>4.5325779036827198E-2</v>
      </c>
      <c r="E42" s="106">
        <f t="shared" si="44"/>
        <v>7.7575757575757576E-2</v>
      </c>
      <c r="F42" s="106">
        <f t="shared" si="44"/>
        <v>3.7336652146857498E-3</v>
      </c>
      <c r="G42" s="106">
        <f t="shared" si="44"/>
        <v>0</v>
      </c>
      <c r="U42" s="37"/>
      <c r="V42" s="176">
        <f ca="1">OFFSET(Assumptions!E17,_xlfn.IFS($AK$3="Bull",1,$AK$3="Base",2,$AK$3="Bear",3,$AK$3="Zero-Growth",4),0)</f>
        <v>3.0000000000000001E-3</v>
      </c>
      <c r="W42" s="176">
        <f ca="1">OFFSET(Assumptions!F17,_xlfn.IFS($AK$3="Bull",1,$AK$3="Base",2,$AK$3="Bear",3,$AK$3="Zero-Growth",4),0)</f>
        <v>3.0000000000000001E-3</v>
      </c>
      <c r="X42" s="37">
        <f ca="1">OFFSET(Assumptions!G17,_xlfn.IFS($AK$3="Bull",1,$AK$3="Base",2,$AK$3="Bear",3,$AK$3="Zero-Growth",4),0)</f>
        <v>3.0000000000000001E-3</v>
      </c>
      <c r="Y42" s="37">
        <f ca="1">OFFSET(Assumptions!H17,_xlfn.IFS($AK$3="Bull",1,$AK$3="Base",2,$AK$3="Bear",3,$AK$3="Zero-Growth",4),0)</f>
        <v>3.0000000000000001E-3</v>
      </c>
      <c r="Z42" s="37">
        <f ca="1">OFFSET(Assumptions!I17,_xlfn.IFS($AK$3="Bull",1,$AK$3="Base",2,$AK$3="Bear",3,$AK$3="Zero-Growth",4),0)</f>
        <v>3.0000000000000001E-3</v>
      </c>
      <c r="AA42" s="37">
        <f ca="1">OFFSET(Assumptions!J17,_xlfn.IFS($AK$3="Bull",1,$AK$3="Base",2,$AK$3="Bear",3,$AK$3="Zero-Growth",4),0)</f>
        <v>3.0000000000000001E-3</v>
      </c>
      <c r="AB42" s="37">
        <f ca="1">OFFSET(Assumptions!K17,_xlfn.IFS($AK$3="Bull",1,$AK$3="Base",2,$AK$3="Bear",3,$AK$3="Zero-Growth",4),0)</f>
        <v>3.0000000000000001E-3</v>
      </c>
      <c r="AC42" s="37">
        <f ca="1">OFFSET(Assumptions!L17,_xlfn.IFS($AK$3="Bull",1,$AK$3="Base",2,$AK$3="Bear",3,$AK$3="Zero-Growth",4),0)</f>
        <v>3.0000000000000001E-3</v>
      </c>
      <c r="AD42" s="37">
        <f ca="1">OFFSET(Assumptions!M17,_xlfn.IFS($AK$3="Bull",1,$AK$3="Base",2,$AK$3="Bear",3,$AK$3="Zero-Growth",4),0)</f>
        <v>3.0000000000000001E-3</v>
      </c>
      <c r="AE42" s="37">
        <f ca="1">OFFSET(Assumptions!N17,_xlfn.IFS($AK$3="Bull",1,$AK$3="Base",2,$AK$3="Bear",3,$AK$3="Zero-Growth",4),0)</f>
        <v>3.0000000000000001E-3</v>
      </c>
      <c r="AF42" s="37">
        <f ca="1">OFFSET(Assumptions!O17,_xlfn.IFS($AK$3="Bull",1,$AK$3="Base",2,$AK$3="Bear",3),0)</f>
        <v>0</v>
      </c>
      <c r="AG42" s="37">
        <f ca="1">OFFSET(Assumptions!P17,_xlfn.IFS($AK$3="Bull",1,$AK$3="Base",2,$AK$3="Bear",3),0)</f>
        <v>0</v>
      </c>
      <c r="AJ42" s="37"/>
    </row>
    <row r="43" spans="2:41" x14ac:dyDescent="0.2">
      <c r="D43" s="83"/>
      <c r="E43" s="83"/>
      <c r="F43" s="83"/>
      <c r="G43" s="83"/>
    </row>
    <row r="44" spans="2:41" x14ac:dyDescent="0.2">
      <c r="D44" s="83"/>
      <c r="E44" s="83"/>
      <c r="F44" s="83"/>
      <c r="G44" s="83"/>
    </row>
    <row r="45" spans="2:41" x14ac:dyDescent="0.2">
      <c r="B45" s="75"/>
      <c r="C45" s="75"/>
      <c r="D45" s="76" t="s">
        <v>61</v>
      </c>
      <c r="E45" s="76" t="s">
        <v>62</v>
      </c>
      <c r="F45" s="76" t="s">
        <v>63</v>
      </c>
      <c r="G45" s="76" t="s">
        <v>64</v>
      </c>
      <c r="H45" s="75" t="s">
        <v>35</v>
      </c>
      <c r="I45" s="75" t="s">
        <v>36</v>
      </c>
      <c r="J45" s="75" t="s">
        <v>37</v>
      </c>
      <c r="K45" s="75" t="s">
        <v>38</v>
      </c>
      <c r="L45" s="75" t="s">
        <v>39</v>
      </c>
      <c r="M45" s="75" t="s">
        <v>40</v>
      </c>
      <c r="N45" s="75" t="s">
        <v>41</v>
      </c>
      <c r="O45" s="75" t="s">
        <v>42</v>
      </c>
      <c r="P45" s="75" t="s">
        <v>43</v>
      </c>
      <c r="Q45" s="75" t="s">
        <v>44</v>
      </c>
      <c r="R45" s="75" t="s">
        <v>45</v>
      </c>
      <c r="S45" s="75" t="s">
        <v>46</v>
      </c>
      <c r="T45" s="75" t="s">
        <v>47</v>
      </c>
      <c r="U45" s="75" t="s">
        <v>48</v>
      </c>
      <c r="V45" s="102" t="s">
        <v>49</v>
      </c>
      <c r="W45" s="102" t="s">
        <v>50</v>
      </c>
      <c r="X45" s="102" t="s">
        <v>51</v>
      </c>
      <c r="Y45" s="102" t="s">
        <v>52</v>
      </c>
      <c r="Z45" s="102" t="s">
        <v>53</v>
      </c>
      <c r="AA45" s="102" t="s">
        <v>54</v>
      </c>
      <c r="AB45" s="102" t="s">
        <v>55</v>
      </c>
      <c r="AC45" s="102" t="s">
        <v>56</v>
      </c>
      <c r="AD45" s="102" t="s">
        <v>57</v>
      </c>
      <c r="AE45" s="102" t="s">
        <v>58</v>
      </c>
      <c r="AF45" s="102" t="s">
        <v>59</v>
      </c>
      <c r="AG45" s="102" t="s">
        <v>60</v>
      </c>
    </row>
    <row r="46" spans="2:41" ht="15" x14ac:dyDescent="0.25">
      <c r="B46" s="55" t="s">
        <v>20</v>
      </c>
      <c r="D46" s="83"/>
      <c r="E46" s="83"/>
      <c r="F46" s="83"/>
      <c r="G46" s="83"/>
    </row>
    <row r="47" spans="2:41" ht="15" x14ac:dyDescent="0.25">
      <c r="B47" s="55" t="s">
        <v>21</v>
      </c>
      <c r="C47" s="55"/>
      <c r="D47" s="204">
        <v>140</v>
      </c>
      <c r="E47" s="204">
        <v>706</v>
      </c>
      <c r="F47" s="204">
        <v>434</v>
      </c>
      <c r="G47" s="204">
        <v>868</v>
      </c>
      <c r="H47" s="177">
        <v>140</v>
      </c>
      <c r="I47" s="177">
        <v>706</v>
      </c>
      <c r="J47" s="177">
        <v>434</v>
      </c>
      <c r="K47" s="177">
        <v>873</v>
      </c>
      <c r="L47" s="177">
        <v>46</v>
      </c>
      <c r="M47" s="177">
        <v>330</v>
      </c>
      <c r="N47" s="177">
        <v>493</v>
      </c>
      <c r="O47" s="177">
        <v>822</v>
      </c>
      <c r="P47" s="177">
        <v>387</v>
      </c>
      <c r="Q47" s="177">
        <v>660</v>
      </c>
      <c r="R47" s="177">
        <v>376</v>
      </c>
      <c r="S47" s="177">
        <v>684</v>
      </c>
      <c r="T47" s="177">
        <v>136</v>
      </c>
      <c r="U47" s="205">
        <v>676</v>
      </c>
    </row>
    <row r="48" spans="2:41" ht="15" x14ac:dyDescent="0.25">
      <c r="B48" s="55" t="s">
        <v>75</v>
      </c>
      <c r="C48" s="55"/>
      <c r="D48" s="204">
        <v>2208</v>
      </c>
      <c r="E48" s="204">
        <v>2152</v>
      </c>
      <c r="F48" s="204">
        <v>2128</v>
      </c>
      <c r="G48" s="204">
        <v>2273</v>
      </c>
      <c r="H48" s="206">
        <v>2208</v>
      </c>
      <c r="I48" s="206">
        <v>2152</v>
      </c>
      <c r="J48" s="206">
        <v>2128</v>
      </c>
      <c r="K48" s="206">
        <v>2273</v>
      </c>
      <c r="L48" s="177">
        <v>2096</v>
      </c>
      <c r="M48" s="177">
        <v>2115</v>
      </c>
      <c r="N48" s="177">
        <v>2185</v>
      </c>
      <c r="O48" s="177">
        <v>2671</v>
      </c>
      <c r="P48" s="177">
        <v>2153</v>
      </c>
      <c r="Q48" s="177">
        <v>2272</v>
      </c>
      <c r="R48" s="177">
        <v>2330</v>
      </c>
      <c r="S48" s="177">
        <v>2105</v>
      </c>
      <c r="T48" s="177">
        <v>1843</v>
      </c>
    </row>
    <row r="49" spans="2:33" ht="15" x14ac:dyDescent="0.25">
      <c r="B49" s="55" t="s">
        <v>76</v>
      </c>
      <c r="C49" s="55"/>
      <c r="D49" s="80"/>
      <c r="E49" s="80">
        <f>E48-D48</f>
        <v>-56</v>
      </c>
      <c r="F49" s="80">
        <f t="shared" ref="F49:T49" si="47">F48-E48</f>
        <v>-24</v>
      </c>
      <c r="G49" s="80">
        <f t="shared" si="47"/>
        <v>145</v>
      </c>
      <c r="H49" s="1">
        <f>H48-G48</f>
        <v>-65</v>
      </c>
      <c r="I49" s="1">
        <f t="shared" si="47"/>
        <v>-56</v>
      </c>
      <c r="J49" s="1">
        <f t="shared" si="47"/>
        <v>-24</v>
      </c>
      <c r="K49" s="1">
        <f t="shared" si="47"/>
        <v>145</v>
      </c>
      <c r="L49" s="1">
        <f t="shared" si="47"/>
        <v>-177</v>
      </c>
      <c r="M49" s="1">
        <f t="shared" si="47"/>
        <v>19</v>
      </c>
      <c r="N49" s="1">
        <f t="shared" si="47"/>
        <v>70</v>
      </c>
      <c r="O49" s="1">
        <f t="shared" si="47"/>
        <v>486</v>
      </c>
      <c r="P49" s="16">
        <f t="shared" si="47"/>
        <v>-518</v>
      </c>
      <c r="Q49" s="16">
        <f t="shared" si="47"/>
        <v>119</v>
      </c>
      <c r="R49" s="16">
        <f t="shared" si="47"/>
        <v>58</v>
      </c>
      <c r="S49" s="16">
        <f t="shared" si="47"/>
        <v>-225</v>
      </c>
      <c r="T49" s="16">
        <f t="shared" si="47"/>
        <v>-262</v>
      </c>
    </row>
    <row r="50" spans="2:33" ht="15" x14ac:dyDescent="0.25">
      <c r="B50" s="55" t="s">
        <v>66</v>
      </c>
      <c r="C50" s="55"/>
      <c r="D50" s="204">
        <v>-176</v>
      </c>
      <c r="E50" s="204">
        <v>-161</v>
      </c>
      <c r="F50" s="204">
        <v>-247</v>
      </c>
      <c r="G50" s="204">
        <v>-172</v>
      </c>
      <c r="H50" s="177">
        <v>-174</v>
      </c>
      <c r="I50" s="177">
        <v>-163</v>
      </c>
      <c r="J50" s="177">
        <v>-247</v>
      </c>
      <c r="K50" s="177">
        <v>-172</v>
      </c>
      <c r="L50" s="177">
        <v>-203</v>
      </c>
      <c r="M50" s="177">
        <v>-180</v>
      </c>
      <c r="N50" s="177">
        <v>-146</v>
      </c>
      <c r="O50" s="177">
        <v>-120</v>
      </c>
      <c r="P50" s="177">
        <v>-133</v>
      </c>
      <c r="Q50" s="177">
        <v>-173</v>
      </c>
      <c r="R50" s="177">
        <v>-146</v>
      </c>
      <c r="S50" s="177">
        <v>-120</v>
      </c>
      <c r="T50" s="177">
        <v>-238</v>
      </c>
      <c r="U50" s="177">
        <f>-439-T50</f>
        <v>-201</v>
      </c>
      <c r="V50" s="16">
        <f t="shared" ref="V50:AA50" ca="1" si="48">-V51*V5</f>
        <v>-178.46512499999997</v>
      </c>
      <c r="W50" s="16">
        <f t="shared" ca="1" si="48"/>
        <v>-263.21437500000002</v>
      </c>
      <c r="X50" s="16">
        <f t="shared" ca="1" si="48"/>
        <v>-156.12825000000001</v>
      </c>
      <c r="Y50" s="16">
        <f t="shared" ca="1" si="48"/>
        <v>-169.25174999999999</v>
      </c>
      <c r="Z50" s="16">
        <f t="shared" ca="1" si="48"/>
        <v>-168.92998675000001</v>
      </c>
      <c r="AA50" s="16">
        <f t="shared" ca="1" si="48"/>
        <v>-250.37848500000004</v>
      </c>
      <c r="AB50" s="16">
        <f t="shared" ref="AB50" si="49">-AB51*AB5</f>
        <v>-9.31</v>
      </c>
      <c r="AC50" s="16">
        <f ca="1">-AC51*AC5</f>
        <v>-160.20079949999999</v>
      </c>
      <c r="AD50" s="16">
        <f ca="1">-AD51*AD5</f>
        <v>-171.32796155124998</v>
      </c>
      <c r="AE50" s="16">
        <f ca="1">-AE51*AE5</f>
        <v>-253.98296227500001</v>
      </c>
      <c r="AF50" s="16">
        <f ca="1">-AF51*AF5</f>
        <v>-9.31</v>
      </c>
      <c r="AG50" s="16">
        <f ca="1">-AG51*AG5</f>
        <v>-160.20079949999999</v>
      </c>
    </row>
    <row r="51" spans="2:33" ht="15" x14ac:dyDescent="0.25">
      <c r="B51" s="109" t="s">
        <v>98</v>
      </c>
      <c r="C51" s="55"/>
      <c r="D51" s="110">
        <f t="shared" ref="D51:T51" si="50">-D50/D5</f>
        <v>4.4310171198388724E-2</v>
      </c>
      <c r="E51" s="110">
        <f t="shared" si="50"/>
        <v>3.8498326159732185E-2</v>
      </c>
      <c r="F51" s="110">
        <f t="shared" si="50"/>
        <v>5.7083429627917723E-2</v>
      </c>
      <c r="G51" s="110">
        <f t="shared" si="50"/>
        <v>2.7719580983078161E-2</v>
      </c>
      <c r="H51" s="111">
        <f t="shared" si="50"/>
        <v>4.3806646525679761E-2</v>
      </c>
      <c r="I51" s="111">
        <f t="shared" si="50"/>
        <v>3.89765662362506E-2</v>
      </c>
      <c r="J51" s="111">
        <f t="shared" si="50"/>
        <v>5.7083429627917723E-2</v>
      </c>
      <c r="K51" s="111">
        <f t="shared" si="50"/>
        <v>2.7719580983078161E-2</v>
      </c>
      <c r="L51" s="111">
        <f t="shared" si="50"/>
        <v>4.9938499384993847E-2</v>
      </c>
      <c r="M51" s="111">
        <f t="shared" si="50"/>
        <v>4.0955631399317405E-2</v>
      </c>
      <c r="N51" s="111">
        <f t="shared" si="50"/>
        <v>3.1968469454784321E-2</v>
      </c>
      <c r="O51" s="111">
        <f t="shared" si="50"/>
        <v>1.7004392801473714E-2</v>
      </c>
      <c r="P51" s="112">
        <f t="shared" si="50"/>
        <v>3.1606463878326996E-2</v>
      </c>
      <c r="Q51" s="112">
        <f t="shared" si="50"/>
        <v>3.7855579868708973E-2</v>
      </c>
      <c r="R51" s="112">
        <f t="shared" si="50"/>
        <v>3.1547104580812446E-2</v>
      </c>
      <c r="S51" s="112">
        <f t="shared" si="50"/>
        <v>1.7587571449509013E-2</v>
      </c>
      <c r="T51" s="112">
        <f t="shared" si="50"/>
        <v>5.8233423048690974E-2</v>
      </c>
      <c r="U51" s="107"/>
      <c r="V51" s="173">
        <v>3.7499999999999999E-2</v>
      </c>
      <c r="W51" s="173">
        <v>3.7499999999999999E-2</v>
      </c>
      <c r="X51" s="173">
        <v>3.7499999999999999E-2</v>
      </c>
      <c r="Y51" s="173">
        <v>3.7499999999999999E-2</v>
      </c>
      <c r="Z51" s="173">
        <v>3.5000000000000003E-2</v>
      </c>
      <c r="AA51" s="173">
        <v>3.5000000000000003E-2</v>
      </c>
      <c r="AB51" s="173">
        <v>3.5000000000000003E-2</v>
      </c>
      <c r="AC51" s="173">
        <v>3.5000000000000003E-2</v>
      </c>
      <c r="AD51" s="173">
        <v>3.5000000000000003E-2</v>
      </c>
      <c r="AE51" s="173">
        <v>3.5000000000000003E-2</v>
      </c>
      <c r="AF51" s="173">
        <v>3.5000000000000003E-2</v>
      </c>
      <c r="AG51" s="173">
        <v>3.5000000000000003E-2</v>
      </c>
    </row>
    <row r="52" spans="2:33" x14ac:dyDescent="0.2">
      <c r="B52" s="36" t="s">
        <v>22</v>
      </c>
      <c r="D52" s="190">
        <v>-91</v>
      </c>
      <c r="E52" s="190">
        <v>-91</v>
      </c>
      <c r="F52" s="190">
        <v>-88</v>
      </c>
      <c r="G52" s="190">
        <v>-88</v>
      </c>
      <c r="H52" s="192">
        <v>-91</v>
      </c>
      <c r="I52" s="192">
        <v>-91</v>
      </c>
      <c r="J52" s="192">
        <v>-88</v>
      </c>
      <c r="K52" s="192">
        <v>-88</v>
      </c>
      <c r="L52" s="192">
        <v>-94</v>
      </c>
      <c r="M52" s="192">
        <v>-92</v>
      </c>
      <c r="N52" s="192">
        <v>-91</v>
      </c>
      <c r="O52" s="192">
        <v>-91</v>
      </c>
      <c r="P52" s="192">
        <v>-101</v>
      </c>
      <c r="Q52" s="192">
        <v>-101</v>
      </c>
      <c r="R52" s="192">
        <v>-99</v>
      </c>
      <c r="S52" s="192">
        <v>-99</v>
      </c>
      <c r="T52" s="192">
        <v>-108</v>
      </c>
    </row>
    <row r="53" spans="2:33" x14ac:dyDescent="0.2">
      <c r="B53" s="36" t="s">
        <v>30</v>
      </c>
      <c r="D53" s="83"/>
      <c r="E53" s="83"/>
      <c r="F53" s="83"/>
      <c r="G53" s="83"/>
      <c r="H53" s="192">
        <v>-120</v>
      </c>
      <c r="I53" s="192">
        <v>-141</v>
      </c>
      <c r="J53" s="192">
        <v>-170</v>
      </c>
      <c r="K53" s="192">
        <v>-108</v>
      </c>
      <c r="L53" s="192">
        <v>-156</v>
      </c>
      <c r="M53" s="192">
        <v>-94</v>
      </c>
      <c r="N53" s="192">
        <v>-38</v>
      </c>
      <c r="O53" s="192">
        <v>0</v>
      </c>
      <c r="P53" s="192">
        <v>-54</v>
      </c>
      <c r="Q53" s="192">
        <v>-79</v>
      </c>
      <c r="R53" s="192">
        <v>-109</v>
      </c>
      <c r="S53" s="192">
        <v>-118</v>
      </c>
      <c r="T53" s="192">
        <v>-119</v>
      </c>
    </row>
    <row r="54" spans="2:33" x14ac:dyDescent="0.2">
      <c r="B54" s="36" t="s">
        <v>67</v>
      </c>
      <c r="D54" s="76"/>
      <c r="E54" s="76"/>
      <c r="F54" s="76"/>
      <c r="G54" s="76"/>
      <c r="H54" s="192">
        <v>-27</v>
      </c>
      <c r="I54" s="192">
        <v>-36</v>
      </c>
      <c r="J54" s="192">
        <v>-27</v>
      </c>
      <c r="K54" s="192">
        <v>-26</v>
      </c>
      <c r="L54" s="192">
        <v>-32</v>
      </c>
      <c r="M54" s="192">
        <v>-35</v>
      </c>
      <c r="N54" s="192">
        <v>-34</v>
      </c>
      <c r="O54" s="192">
        <v>-37</v>
      </c>
      <c r="P54" s="192">
        <v>-568</v>
      </c>
      <c r="Q54" s="192">
        <v>-59</v>
      </c>
      <c r="R54" s="192">
        <v>-33</v>
      </c>
      <c r="S54" s="192">
        <v>-455</v>
      </c>
      <c r="T54" s="192">
        <v>-37</v>
      </c>
    </row>
    <row r="55" spans="2:33" ht="15" x14ac:dyDescent="0.25">
      <c r="B55" s="55" t="s">
        <v>23</v>
      </c>
      <c r="C55" s="55"/>
      <c r="D55" s="204">
        <v>-250</v>
      </c>
      <c r="E55" s="204">
        <v>-266</v>
      </c>
      <c r="F55" s="204">
        <v>-290</v>
      </c>
      <c r="G55" s="204">
        <v>-219</v>
      </c>
      <c r="H55" s="177">
        <v>-250</v>
      </c>
      <c r="I55" s="177">
        <v>-266</v>
      </c>
      <c r="J55" s="177">
        <v>-290</v>
      </c>
      <c r="K55" s="177">
        <v>-224</v>
      </c>
      <c r="L55" s="177">
        <v>-292</v>
      </c>
      <c r="M55" s="177">
        <v>-223</v>
      </c>
      <c r="N55" s="177">
        <v>-163</v>
      </c>
      <c r="O55" s="177">
        <v>-130</v>
      </c>
      <c r="P55" s="177">
        <v>-740</v>
      </c>
      <c r="Q55" s="177">
        <v>-243</v>
      </c>
      <c r="R55" s="177">
        <v>-249</v>
      </c>
      <c r="S55" s="177">
        <v>-677</v>
      </c>
      <c r="T55" s="177">
        <v>-289</v>
      </c>
    </row>
    <row r="56" spans="2:33" ht="15" x14ac:dyDescent="0.25">
      <c r="B56" s="55" t="s">
        <v>136</v>
      </c>
      <c r="C56" s="55"/>
      <c r="D56" s="80">
        <f t="shared" ref="D56:N56" si="51">D47+D50+D55</f>
        <v>-286</v>
      </c>
      <c r="E56" s="80">
        <f t="shared" si="51"/>
        <v>279</v>
      </c>
      <c r="F56" s="80">
        <f t="shared" si="51"/>
        <v>-103</v>
      </c>
      <c r="G56" s="80">
        <f t="shared" si="51"/>
        <v>477</v>
      </c>
      <c r="H56" s="81">
        <f t="shared" si="51"/>
        <v>-284</v>
      </c>
      <c r="I56" s="81">
        <f t="shared" si="51"/>
        <v>277</v>
      </c>
      <c r="J56" s="81">
        <f t="shared" si="51"/>
        <v>-103</v>
      </c>
      <c r="K56" s="81">
        <f t="shared" si="51"/>
        <v>477</v>
      </c>
      <c r="L56" s="81">
        <f t="shared" si="51"/>
        <v>-449</v>
      </c>
      <c r="M56" s="81">
        <f t="shared" si="51"/>
        <v>-73</v>
      </c>
      <c r="N56" s="81">
        <f t="shared" si="51"/>
        <v>184</v>
      </c>
      <c r="O56" s="81">
        <f t="shared" ref="O56:T56" si="52">O47+O50+O55</f>
        <v>572</v>
      </c>
      <c r="P56" s="81">
        <f t="shared" si="52"/>
        <v>-486</v>
      </c>
      <c r="Q56" s="81">
        <f t="shared" si="52"/>
        <v>244</v>
      </c>
      <c r="R56" s="81">
        <f t="shared" si="52"/>
        <v>-19</v>
      </c>
      <c r="S56" s="81">
        <f t="shared" si="52"/>
        <v>-113</v>
      </c>
      <c r="T56" s="81">
        <f t="shared" si="52"/>
        <v>-391</v>
      </c>
    </row>
    <row r="57" spans="2:33" x14ac:dyDescent="0.2">
      <c r="D57" s="83"/>
      <c r="E57" s="83"/>
      <c r="F57" s="83"/>
      <c r="G57" s="83"/>
    </row>
    <row r="58" spans="2:33" x14ac:dyDescent="0.2">
      <c r="D58" s="83"/>
      <c r="E58" s="83"/>
      <c r="F58" s="83"/>
      <c r="G58" s="83"/>
    </row>
    <row r="59" spans="2:33" ht="15" x14ac:dyDescent="0.25">
      <c r="B59" s="55" t="s">
        <v>24</v>
      </c>
      <c r="D59" s="83"/>
      <c r="E59" s="83"/>
      <c r="F59" s="83"/>
      <c r="G59" s="83"/>
    </row>
    <row r="60" spans="2:33" ht="15" x14ac:dyDescent="0.25">
      <c r="B60" s="113" t="s">
        <v>68</v>
      </c>
      <c r="D60" s="204">
        <v>2793</v>
      </c>
      <c r="E60" s="204">
        <v>2793</v>
      </c>
      <c r="F60" s="204">
        <v>2794</v>
      </c>
      <c r="G60" s="204">
        <v>2795</v>
      </c>
      <c r="H60" s="207">
        <v>2793</v>
      </c>
      <c r="I60" s="207">
        <v>2793</v>
      </c>
      <c r="J60" s="207">
        <v>2794</v>
      </c>
      <c r="K60" s="207">
        <v>2795</v>
      </c>
      <c r="L60" s="207">
        <v>2795</v>
      </c>
      <c r="M60" s="207">
        <v>2796</v>
      </c>
      <c r="N60" s="207">
        <v>2796</v>
      </c>
      <c r="O60" s="207">
        <v>2797</v>
      </c>
      <c r="P60" s="208">
        <v>2301</v>
      </c>
      <c r="Q60" s="208">
        <v>2273</v>
      </c>
      <c r="R60" s="208">
        <v>2272</v>
      </c>
      <c r="S60" s="208">
        <v>1861</v>
      </c>
      <c r="T60" s="208">
        <v>1855</v>
      </c>
    </row>
    <row r="61" spans="2:33" x14ac:dyDescent="0.2">
      <c r="B61" s="88" t="s">
        <v>25</v>
      </c>
      <c r="D61" s="190">
        <v>423</v>
      </c>
      <c r="E61" s="190">
        <v>700</v>
      </c>
      <c r="F61" s="190">
        <v>579</v>
      </c>
      <c r="G61" s="190">
        <v>1074</v>
      </c>
      <c r="H61" s="192">
        <v>423</v>
      </c>
      <c r="I61" s="192">
        <v>700</v>
      </c>
      <c r="J61" s="192">
        <v>597</v>
      </c>
      <c r="K61" s="192">
        <v>1074</v>
      </c>
      <c r="L61" s="192">
        <v>625</v>
      </c>
      <c r="M61" s="192">
        <v>552</v>
      </c>
      <c r="N61" s="192">
        <v>736</v>
      </c>
      <c r="O61" s="192">
        <v>1308</v>
      </c>
      <c r="P61" s="192">
        <v>822</v>
      </c>
      <c r="Q61" s="192">
        <v>1066</v>
      </c>
      <c r="R61" s="192">
        <v>1047</v>
      </c>
      <c r="S61" s="192">
        <v>934</v>
      </c>
      <c r="T61" s="192">
        <v>543</v>
      </c>
    </row>
    <row r="62" spans="2:33" ht="15" x14ac:dyDescent="0.25">
      <c r="B62" s="113" t="s">
        <v>26</v>
      </c>
      <c r="D62" s="80">
        <f>D60-D61</f>
        <v>2370</v>
      </c>
      <c r="E62" s="80">
        <f t="shared" ref="E62:G62" si="53">E60-E61</f>
        <v>2093</v>
      </c>
      <c r="F62" s="80">
        <f t="shared" si="53"/>
        <v>2215</v>
      </c>
      <c r="G62" s="80">
        <f t="shared" si="53"/>
        <v>1721</v>
      </c>
      <c r="H62" s="81">
        <f>H60-H61</f>
        <v>2370</v>
      </c>
      <c r="I62" s="81">
        <f t="shared" ref="I62:T62" si="54">I60-I61</f>
        <v>2093</v>
      </c>
      <c r="J62" s="81">
        <f t="shared" si="54"/>
        <v>2197</v>
      </c>
      <c r="K62" s="81">
        <f t="shared" si="54"/>
        <v>1721</v>
      </c>
      <c r="L62" s="81">
        <f t="shared" si="54"/>
        <v>2170</v>
      </c>
      <c r="M62" s="81">
        <f t="shared" si="54"/>
        <v>2244</v>
      </c>
      <c r="N62" s="81">
        <f t="shared" si="54"/>
        <v>2060</v>
      </c>
      <c r="O62" s="81">
        <f t="shared" si="54"/>
        <v>1489</v>
      </c>
      <c r="P62" s="81">
        <f t="shared" si="54"/>
        <v>1479</v>
      </c>
      <c r="Q62" s="81">
        <f t="shared" si="54"/>
        <v>1207</v>
      </c>
      <c r="R62" s="81">
        <f t="shared" si="54"/>
        <v>1225</v>
      </c>
      <c r="S62" s="81">
        <f t="shared" si="54"/>
        <v>927</v>
      </c>
      <c r="T62" s="81">
        <f t="shared" si="54"/>
        <v>1312</v>
      </c>
    </row>
    <row r="63" spans="2:33" ht="15" x14ac:dyDescent="0.25">
      <c r="B63" s="113"/>
      <c r="D63" s="80"/>
      <c r="E63" s="80"/>
      <c r="F63" s="80"/>
      <c r="G63" s="80"/>
    </row>
    <row r="64" spans="2:33" ht="15" x14ac:dyDescent="0.25">
      <c r="B64" s="113" t="s">
        <v>29</v>
      </c>
      <c r="D64" s="80"/>
      <c r="E64" s="80"/>
      <c r="F64" s="80"/>
      <c r="G64" s="80"/>
      <c r="H64" s="192">
        <v>4084</v>
      </c>
      <c r="I64" s="192">
        <v>3928</v>
      </c>
      <c r="J64" s="192">
        <v>4721</v>
      </c>
      <c r="K64" s="192">
        <v>3795</v>
      </c>
      <c r="L64" s="192">
        <v>3991</v>
      </c>
      <c r="M64" s="192">
        <v>3853</v>
      </c>
      <c r="N64" s="192">
        <v>4632</v>
      </c>
      <c r="O64" s="192">
        <v>3542</v>
      </c>
      <c r="P64" s="192">
        <v>3726</v>
      </c>
      <c r="Q64" s="192">
        <v>3572</v>
      </c>
      <c r="R64" s="192">
        <v>4844</v>
      </c>
      <c r="S64" s="192">
        <v>3475</v>
      </c>
      <c r="T64" s="192">
        <v>3680</v>
      </c>
    </row>
    <row r="65" spans="2:20" x14ac:dyDescent="0.2">
      <c r="D65" s="83"/>
      <c r="E65" s="83"/>
      <c r="F65" s="83"/>
      <c r="G65" s="83"/>
    </row>
    <row r="66" spans="2:20" ht="15" x14ac:dyDescent="0.25">
      <c r="B66" s="113" t="s">
        <v>15</v>
      </c>
      <c r="D66" s="114">
        <f t="shared" ref="D66:T66" si="55">D28</f>
        <v>340</v>
      </c>
      <c r="E66" s="115">
        <f t="shared" si="55"/>
        <v>535</v>
      </c>
      <c r="F66" s="115">
        <f t="shared" si="55"/>
        <v>521</v>
      </c>
      <c r="G66" s="115">
        <f t="shared" si="55"/>
        <v>713</v>
      </c>
      <c r="H66" s="55">
        <f t="shared" si="55"/>
        <v>340</v>
      </c>
      <c r="I66" s="55">
        <f t="shared" si="55"/>
        <v>536</v>
      </c>
      <c r="J66" s="55">
        <f t="shared" si="55"/>
        <v>521</v>
      </c>
      <c r="K66" s="55">
        <f t="shared" si="55"/>
        <v>712</v>
      </c>
      <c r="L66" s="55">
        <f t="shared" si="55"/>
        <v>423</v>
      </c>
      <c r="M66" s="55">
        <f t="shared" si="55"/>
        <v>650</v>
      </c>
      <c r="N66" s="55">
        <f t="shared" si="55"/>
        <v>500</v>
      </c>
      <c r="O66" s="55">
        <f t="shared" si="55"/>
        <v>834</v>
      </c>
      <c r="P66" s="36">
        <f t="shared" si="55"/>
        <v>411</v>
      </c>
      <c r="Q66" s="36">
        <f t="shared" si="55"/>
        <v>693</v>
      </c>
      <c r="R66" s="36">
        <f t="shared" si="55"/>
        <v>501</v>
      </c>
      <c r="S66" s="36">
        <f t="shared" si="55"/>
        <v>659</v>
      </c>
      <c r="T66" s="36">
        <f t="shared" si="55"/>
        <v>348</v>
      </c>
    </row>
  </sheetData>
  <mergeCells count="1">
    <mergeCell ref="AT4:BB4"/>
  </mergeCells>
  <pageMargins left="0.7" right="0.7" top="0.75" bottom="0.75" header="0.3" footer="0.3"/>
  <pageSetup scale="62" orientation="portrait" r:id="rId1"/>
  <colBreaks count="1" manualBreakCount="1">
    <brk id="34" max="1048575" man="1"/>
  </colBreaks>
  <customProperties>
    <customPr name="Guid" r:id="rId2"/>
  </customProperties>
  <ignoredErrors>
    <ignoredError sqref="AJ8:AK9 AJ11:AK20 AJ10 AJ22:AK29 AK21 AL25:AM25 AL19:AM19 AJ31:AK34 AK30" formulaRange="1"/>
    <ignoredError sqref="AK10 AJ21 AJ30" formula="1" formulaRange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27B76F-6C1A-4601-AA6E-EE919593A2E5}">
          <x14:formula1>
            <xm:f>Assumptions!$B$3:$B$6</xm:f>
          </x14:formula1>
          <xm:sqref>AK3:AK5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08F5C-F68C-4481-980A-80063A4357E8}">
  <sheetPr>
    <pageSetUpPr fitToPage="1"/>
  </sheetPr>
  <dimension ref="B1:Q39"/>
  <sheetViews>
    <sheetView showGridLines="0" view="pageBreakPreview" zoomScale="60" zoomScaleNormal="100" workbookViewId="0">
      <selection activeCell="G38" sqref="G38"/>
    </sheetView>
  </sheetViews>
  <sheetFormatPr defaultRowHeight="14.25" x14ac:dyDescent="0.2"/>
  <cols>
    <col min="1" max="5" width="9.140625" style="36"/>
    <col min="6" max="6" width="10.28515625" style="36" customWidth="1"/>
    <col min="7" max="8" width="9.140625" style="36"/>
    <col min="9" max="9" width="10.140625" style="36" bestFit="1" customWidth="1"/>
    <col min="10" max="10" width="9.85546875" style="36" customWidth="1"/>
    <col min="11" max="11" width="11.28515625" style="36" customWidth="1"/>
    <col min="12" max="12" width="9.140625" style="36"/>
    <col min="13" max="13" width="11" style="36" customWidth="1"/>
    <col min="14" max="16384" width="9.140625" style="36"/>
  </cols>
  <sheetData>
    <row r="1" spans="2:17" x14ac:dyDescent="0.2">
      <c r="B1" s="3"/>
      <c r="C1" s="3"/>
      <c r="D1" s="3"/>
      <c r="E1" s="3"/>
      <c r="F1" s="3"/>
      <c r="G1" s="3"/>
      <c r="H1" s="3"/>
    </row>
    <row r="2" spans="2:17" x14ac:dyDescent="0.2">
      <c r="B2" s="12" t="s">
        <v>97</v>
      </c>
      <c r="C2" s="3"/>
      <c r="D2" s="3"/>
      <c r="E2" s="3"/>
      <c r="F2" s="3"/>
      <c r="G2" s="3"/>
      <c r="H2" s="3"/>
      <c r="I2" s="166" t="s">
        <v>117</v>
      </c>
      <c r="J2" s="166"/>
      <c r="K2" s="166"/>
      <c r="L2" s="166"/>
      <c r="M2" s="166"/>
    </row>
    <row r="3" spans="2:17" ht="15" x14ac:dyDescent="0.25">
      <c r="B3" s="3"/>
      <c r="C3" s="3"/>
      <c r="D3" s="3"/>
      <c r="E3" s="3"/>
      <c r="F3"/>
      <c r="G3" s="3"/>
      <c r="H3" s="3"/>
      <c r="I3" s="54" t="s">
        <v>95</v>
      </c>
      <c r="J3" s="54" t="s">
        <v>96</v>
      </c>
      <c r="K3" s="54" t="s">
        <v>99</v>
      </c>
      <c r="L3" s="54" t="s">
        <v>111</v>
      </c>
      <c r="M3" s="54" t="s">
        <v>112</v>
      </c>
    </row>
    <row r="4" spans="2:17" x14ac:dyDescent="0.2">
      <c r="B4" s="3"/>
      <c r="C4" s="3"/>
      <c r="D4" s="3"/>
      <c r="E4" s="3"/>
      <c r="F4" s="15"/>
      <c r="G4" s="15"/>
      <c r="H4" s="15"/>
      <c r="I4" s="178">
        <v>0.5</v>
      </c>
      <c r="J4" s="178">
        <v>1.5</v>
      </c>
      <c r="K4" s="178">
        <v>2.5</v>
      </c>
      <c r="L4" s="178">
        <v>3.5</v>
      </c>
      <c r="M4" s="178">
        <v>4.5</v>
      </c>
    </row>
    <row r="5" spans="2:17" x14ac:dyDescent="0.2">
      <c r="B5" s="3"/>
      <c r="C5" s="3"/>
      <c r="D5" s="3"/>
      <c r="E5" s="3"/>
      <c r="F5" s="3"/>
      <c r="G5" s="3"/>
      <c r="H5" s="3"/>
      <c r="I5" s="21"/>
      <c r="J5" s="21"/>
      <c r="K5" s="21"/>
      <c r="L5" s="21"/>
      <c r="M5" s="21"/>
    </row>
    <row r="6" spans="2:17" x14ac:dyDescent="0.2">
      <c r="B6" s="2" t="s">
        <v>34</v>
      </c>
      <c r="C6" s="2"/>
      <c r="D6" s="2"/>
      <c r="E6" s="2"/>
      <c r="F6" s="3"/>
      <c r="G6" s="3"/>
      <c r="H6" s="3"/>
      <c r="I6" s="26">
        <f ca="1">Model!AK10</f>
        <v>20295.12</v>
      </c>
      <c r="J6" s="26">
        <f ca="1">Model!AL10</f>
        <v>20498.071199999998</v>
      </c>
      <c r="K6" s="26">
        <f ca="1">Model!AM10</f>
        <v>20703.051911999999</v>
      </c>
      <c r="L6" s="26">
        <f ca="1">Model!AN10</f>
        <v>20858.324801340001</v>
      </c>
      <c r="M6" s="26">
        <f ca="1">Model!AO10</f>
        <v>20962.6164253467</v>
      </c>
    </row>
    <row r="7" spans="2:17" x14ac:dyDescent="0.2">
      <c r="B7" s="2" t="s">
        <v>3</v>
      </c>
      <c r="C7" s="2"/>
      <c r="D7" s="2"/>
      <c r="E7" s="2"/>
      <c r="F7" s="3"/>
      <c r="G7" s="3"/>
      <c r="H7" s="3"/>
      <c r="I7" s="27">
        <f ca="1">I6-I8</f>
        <v>19184.98615974432</v>
      </c>
      <c r="J7" s="27">
        <f t="shared" ref="J7:M7" ca="1" si="0">J6-J8</f>
        <v>19314.126619571358</v>
      </c>
      <c r="K7" s="27">
        <f t="shared" ca="1" si="0"/>
        <v>19495.363630917669</v>
      </c>
      <c r="L7" s="27">
        <f t="shared" ca="1" si="0"/>
        <v>19614.463035907815</v>
      </c>
      <c r="M7" s="27">
        <f t="shared" ca="1" si="0"/>
        <v>19702.054042874679</v>
      </c>
    </row>
    <row r="8" spans="2:17" x14ac:dyDescent="0.2">
      <c r="B8" s="4" t="s">
        <v>77</v>
      </c>
      <c r="C8" s="5"/>
      <c r="D8" s="5"/>
      <c r="E8" s="5"/>
      <c r="F8" s="6"/>
      <c r="G8" s="6"/>
      <c r="H8" s="6"/>
      <c r="I8" s="28">
        <f ca="1">Model!AK20</f>
        <v>1110.1338402556794</v>
      </c>
      <c r="J8" s="28">
        <f ca="1">Model!AL20</f>
        <v>1183.9445804286406</v>
      </c>
      <c r="K8" s="28">
        <f ca="1">Model!AM20</f>
        <v>1207.688281082329</v>
      </c>
      <c r="L8" s="28">
        <f ca="1">Model!AN20</f>
        <v>1243.8617654321879</v>
      </c>
      <c r="M8" s="28">
        <f ca="1">Model!AO20</f>
        <v>1260.5623824720215</v>
      </c>
      <c r="Q8" s="37"/>
    </row>
    <row r="9" spans="2:17" x14ac:dyDescent="0.2">
      <c r="B9" s="2" t="s">
        <v>78</v>
      </c>
      <c r="C9" s="7"/>
      <c r="D9" s="2"/>
      <c r="E9" s="2"/>
      <c r="F9" s="3"/>
      <c r="G9" s="3"/>
      <c r="H9" s="3"/>
      <c r="I9" s="29">
        <v>0.24</v>
      </c>
      <c r="J9" s="29">
        <v>0.24</v>
      </c>
      <c r="K9" s="29">
        <v>0.24</v>
      </c>
      <c r="L9" s="29">
        <v>0.24</v>
      </c>
      <c r="M9" s="29">
        <v>0.24</v>
      </c>
    </row>
    <row r="10" spans="2:17" x14ac:dyDescent="0.2">
      <c r="B10" s="4" t="s">
        <v>79</v>
      </c>
      <c r="C10" s="5"/>
      <c r="D10" s="5"/>
      <c r="E10" s="5"/>
      <c r="F10" s="6"/>
      <c r="G10" s="6"/>
      <c r="H10" s="6"/>
      <c r="I10" s="30">
        <f ca="1">I8*(1-I9)</f>
        <v>843.70171859431639</v>
      </c>
      <c r="J10" s="31">
        <f t="shared" ref="J10:M10" ca="1" si="1">J8*(1-J9)</f>
        <v>899.79788112576693</v>
      </c>
      <c r="K10" s="31">
        <f t="shared" ca="1" si="1"/>
        <v>917.84309362257011</v>
      </c>
      <c r="L10" s="31">
        <f t="shared" ca="1" si="1"/>
        <v>945.33494172846281</v>
      </c>
      <c r="M10" s="31">
        <f t="shared" ca="1" si="1"/>
        <v>958.02741067873626</v>
      </c>
    </row>
    <row r="11" spans="2:17" x14ac:dyDescent="0.2">
      <c r="B11" s="2"/>
      <c r="C11" s="2"/>
      <c r="D11" s="2"/>
      <c r="E11" s="2"/>
      <c r="F11" s="3"/>
      <c r="G11" s="3"/>
      <c r="H11" s="3"/>
      <c r="I11" s="21"/>
      <c r="J11" s="21"/>
      <c r="K11" s="21"/>
      <c r="L11" s="21"/>
      <c r="M11" s="21"/>
    </row>
    <row r="12" spans="2:17" x14ac:dyDescent="0.2">
      <c r="B12" s="2" t="s">
        <v>80</v>
      </c>
      <c r="C12" s="2"/>
      <c r="D12" s="2"/>
      <c r="E12" s="2"/>
      <c r="F12" s="3"/>
      <c r="G12" s="3"/>
      <c r="H12" s="3"/>
      <c r="I12" s="26">
        <f>Model!AK17</f>
        <v>925</v>
      </c>
      <c r="J12" s="26">
        <f ca="1">Model!AL17</f>
        <v>871.16802600000005</v>
      </c>
      <c r="K12" s="26">
        <f ca="1">Model!AM17</f>
        <v>879.87970626000003</v>
      </c>
      <c r="L12" s="26">
        <f ca="1">Model!AN17</f>
        <v>876.04964165628007</v>
      </c>
      <c r="M12" s="26">
        <f ca="1">Model!AO17</f>
        <v>869.94858165188805</v>
      </c>
      <c r="P12" s="122"/>
    </row>
    <row r="13" spans="2:17" x14ac:dyDescent="0.2">
      <c r="B13" s="2" t="s">
        <v>81</v>
      </c>
      <c r="C13" s="2"/>
      <c r="D13" s="2"/>
      <c r="E13" s="2"/>
      <c r="F13" s="3"/>
      <c r="G13" s="3"/>
      <c r="H13" s="3"/>
      <c r="I13" s="32"/>
      <c r="J13" s="32"/>
      <c r="K13" s="32"/>
      <c r="L13" s="32"/>
      <c r="M13" s="32"/>
    </row>
    <row r="14" spans="2:17" x14ac:dyDescent="0.2">
      <c r="B14" s="2" t="s">
        <v>82</v>
      </c>
      <c r="C14" s="2"/>
      <c r="D14" s="2"/>
      <c r="E14" s="2"/>
      <c r="F14" s="3"/>
      <c r="G14" s="3"/>
      <c r="H14" s="3"/>
      <c r="I14" s="33">
        <f ca="1">-0.04*I6</f>
        <v>-811.8048</v>
      </c>
      <c r="J14" s="33">
        <f ca="1">-0.04*J6</f>
        <v>-819.92284799999993</v>
      </c>
      <c r="K14" s="33">
        <f ca="1">-0.04*K6</f>
        <v>-828.12207648000003</v>
      </c>
      <c r="L14" s="33">
        <f ca="1">-0.04*L6</f>
        <v>-834.33299205360004</v>
      </c>
      <c r="M14" s="33">
        <f ca="1">-0.04*M6</f>
        <v>-838.50465701386804</v>
      </c>
    </row>
    <row r="15" spans="2:17" x14ac:dyDescent="0.2">
      <c r="B15" s="4" t="s">
        <v>83</v>
      </c>
      <c r="C15" s="8"/>
      <c r="D15" s="8"/>
      <c r="E15" s="8"/>
      <c r="F15" s="6"/>
      <c r="G15" s="6"/>
      <c r="H15" s="6"/>
      <c r="I15" s="31">
        <f ca="1">I10+I12+I13+I14</f>
        <v>956.89691859431639</v>
      </c>
      <c r="J15" s="31">
        <f t="shared" ref="J15:M15" ca="1" si="2">J10+J12+J13+J14</f>
        <v>951.04305912576706</v>
      </c>
      <c r="K15" s="31">
        <f t="shared" ca="1" si="2"/>
        <v>969.60072340257011</v>
      </c>
      <c r="L15" s="31">
        <f t="shared" ca="1" si="2"/>
        <v>987.05159133114284</v>
      </c>
      <c r="M15" s="31">
        <f t="shared" ca="1" si="2"/>
        <v>989.47133531675615</v>
      </c>
    </row>
    <row r="16" spans="2:17" x14ac:dyDescent="0.2">
      <c r="B16" s="2"/>
      <c r="C16" s="9"/>
      <c r="D16" s="9"/>
      <c r="E16" s="9"/>
      <c r="F16" s="3"/>
      <c r="G16" s="3"/>
      <c r="H16" s="3"/>
      <c r="I16" s="21"/>
      <c r="J16" s="21"/>
      <c r="K16" s="21"/>
      <c r="L16" s="21"/>
      <c r="M16" s="21"/>
    </row>
    <row r="17" spans="2:17" x14ac:dyDescent="0.2">
      <c r="B17" s="10" t="s">
        <v>84</v>
      </c>
      <c r="C17" s="9"/>
      <c r="D17" s="9"/>
      <c r="E17" s="11"/>
      <c r="F17" s="25">
        <f>Sensitivity!K2</f>
        <v>6.5000000000000002E-2</v>
      </c>
      <c r="G17" s="3"/>
      <c r="H17" s="3"/>
      <c r="I17" s="20">
        <f ca="1">I15/(1+$F$17)^I4</f>
        <v>927.23614386694248</v>
      </c>
      <c r="J17" s="20">
        <f t="shared" ref="J17:M17" ca="1" si="3">J15/(1+$F$17)^J4</f>
        <v>865.31806150919601</v>
      </c>
      <c r="K17" s="20">
        <f t="shared" ca="1" si="3"/>
        <v>828.35960320855179</v>
      </c>
      <c r="L17" s="20">
        <f t="shared" ca="1" si="3"/>
        <v>791.80132799440742</v>
      </c>
      <c r="M17" s="20">
        <f t="shared" ca="1" si="3"/>
        <v>745.29804556725765</v>
      </c>
    </row>
    <row r="18" spans="2:17" x14ac:dyDescent="0.2">
      <c r="B18" s="10" t="s">
        <v>85</v>
      </c>
      <c r="C18" s="2"/>
      <c r="D18" s="2"/>
      <c r="E18" s="2"/>
      <c r="G18" s="3"/>
      <c r="H18" s="3"/>
      <c r="I18" s="3"/>
      <c r="J18" s="3"/>
      <c r="K18" s="3"/>
      <c r="L18" s="3"/>
      <c r="M18" s="20">
        <f ca="1">SUM(I17:M17)</f>
        <v>4158.0131821463556</v>
      </c>
    </row>
    <row r="19" spans="2:17" x14ac:dyDescent="0.2"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</row>
    <row r="20" spans="2:17" x14ac:dyDescent="0.2"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</row>
    <row r="21" spans="2:17" x14ac:dyDescent="0.2">
      <c r="B21" s="12" t="s">
        <v>86</v>
      </c>
      <c r="C21" s="2"/>
      <c r="D21" s="2"/>
      <c r="E21" s="2"/>
      <c r="F21" s="3"/>
      <c r="G21" s="3"/>
      <c r="H21" s="3"/>
      <c r="I21" s="12" t="s">
        <v>87</v>
      </c>
      <c r="J21" s="3"/>
      <c r="K21" s="3"/>
      <c r="L21" s="3"/>
      <c r="M21" s="3"/>
    </row>
    <row r="22" spans="2:17" x14ac:dyDescent="0.2">
      <c r="B22" s="2"/>
      <c r="C22" s="2"/>
      <c r="D22" s="2"/>
      <c r="E22" s="2"/>
      <c r="F22" s="3"/>
      <c r="G22" s="3"/>
      <c r="H22" s="3"/>
      <c r="I22" s="2"/>
      <c r="J22" s="3"/>
      <c r="K22" s="3"/>
      <c r="L22" s="3"/>
      <c r="M22" s="3"/>
    </row>
    <row r="23" spans="2:17" x14ac:dyDescent="0.2">
      <c r="B23" s="2" t="s">
        <v>85</v>
      </c>
      <c r="C23" s="2"/>
      <c r="D23" s="2"/>
      <c r="E23" s="2"/>
      <c r="F23" s="20">
        <f ca="1">M18</f>
        <v>4158.0131821463556</v>
      </c>
      <c r="G23" s="3"/>
      <c r="H23" s="3"/>
      <c r="I23" s="2" t="s">
        <v>85</v>
      </c>
      <c r="J23" s="3"/>
      <c r="K23" s="3"/>
      <c r="L23" s="3"/>
      <c r="M23" s="20">
        <f ca="1">F23</f>
        <v>4158.0131821463556</v>
      </c>
    </row>
    <row r="24" spans="2:17" x14ac:dyDescent="0.2">
      <c r="B24" s="2"/>
      <c r="C24" s="2"/>
      <c r="D24" s="2"/>
      <c r="E24" s="2"/>
      <c r="F24" s="21"/>
      <c r="G24" s="3"/>
      <c r="H24" s="3"/>
      <c r="I24" s="2"/>
      <c r="J24" s="3"/>
      <c r="K24" s="3"/>
      <c r="L24" s="3"/>
      <c r="M24" s="21"/>
    </row>
    <row r="25" spans="2:17" x14ac:dyDescent="0.2">
      <c r="B25" s="2" t="s">
        <v>118</v>
      </c>
      <c r="C25" s="2"/>
      <c r="D25" s="2"/>
      <c r="E25" s="2"/>
      <c r="F25" s="20">
        <f ca="1">M15</f>
        <v>989.47133531675615</v>
      </c>
      <c r="G25" s="3"/>
      <c r="H25" s="3"/>
      <c r="I25" s="2" t="s">
        <v>120</v>
      </c>
      <c r="J25" s="3"/>
      <c r="K25" s="3"/>
      <c r="L25" s="3"/>
      <c r="M25" s="26">
        <f ca="1">M12+M8</f>
        <v>2130.5109641239096</v>
      </c>
      <c r="P25" s="37"/>
      <c r="Q25" s="37"/>
    </row>
    <row r="26" spans="2:17" x14ac:dyDescent="0.2">
      <c r="B26" s="13" t="s">
        <v>88</v>
      </c>
      <c r="C26" s="13"/>
      <c r="D26" s="13"/>
      <c r="E26" s="13"/>
      <c r="F26" s="22">
        <f>Sensitivity!K3</f>
        <v>0</v>
      </c>
      <c r="G26" s="3"/>
      <c r="H26" s="3"/>
      <c r="I26" s="13" t="s">
        <v>89</v>
      </c>
      <c r="J26" s="14"/>
      <c r="K26" s="14"/>
      <c r="L26" s="14"/>
      <c r="M26" s="34">
        <f>Sensitivity!K6</f>
        <v>7.5</v>
      </c>
    </row>
    <row r="27" spans="2:17" x14ac:dyDescent="0.2">
      <c r="B27" s="10" t="s">
        <v>90</v>
      </c>
      <c r="C27" s="2"/>
      <c r="D27" s="2"/>
      <c r="E27" s="2"/>
      <c r="F27" s="20">
        <f ca="1">((1+F26)*(F25))/(F17-F26)</f>
        <v>15222.635927950094</v>
      </c>
      <c r="G27" s="3"/>
      <c r="H27" s="3"/>
      <c r="I27" s="10" t="s">
        <v>90</v>
      </c>
      <c r="J27" s="3"/>
      <c r="K27" s="3"/>
      <c r="L27" s="3"/>
      <c r="M27" s="20">
        <f ca="1">M25*M26</f>
        <v>15978.832230929322</v>
      </c>
    </row>
    <row r="28" spans="2:17" x14ac:dyDescent="0.2">
      <c r="B28" s="13" t="s">
        <v>91</v>
      </c>
      <c r="C28" s="13"/>
      <c r="D28" s="13"/>
      <c r="E28" s="13"/>
      <c r="F28" s="23">
        <v>5</v>
      </c>
      <c r="G28" s="3"/>
      <c r="H28" s="3"/>
      <c r="I28" s="13" t="s">
        <v>91</v>
      </c>
      <c r="J28" s="14"/>
      <c r="K28" s="14"/>
      <c r="L28" s="14"/>
      <c r="M28" s="23">
        <v>5</v>
      </c>
    </row>
    <row r="29" spans="2:17" x14ac:dyDescent="0.2">
      <c r="B29" s="10" t="s">
        <v>92</v>
      </c>
      <c r="C29" s="2"/>
      <c r="D29" s="2"/>
      <c r="E29" s="2"/>
      <c r="F29" s="20">
        <f ca="1">F27/(1+F17)^F28</f>
        <v>11110.710245146156</v>
      </c>
      <c r="G29" s="3"/>
      <c r="H29" s="3"/>
      <c r="I29" s="10" t="s">
        <v>92</v>
      </c>
      <c r="J29" s="3"/>
      <c r="K29" s="3"/>
      <c r="L29" s="3"/>
      <c r="M29" s="20">
        <f ca="1">M27/(1+F17)^M28</f>
        <v>11662.643435338689</v>
      </c>
    </row>
    <row r="30" spans="2:17" x14ac:dyDescent="0.2">
      <c r="B30" s="10"/>
      <c r="C30" s="2"/>
      <c r="D30" s="2"/>
      <c r="E30" s="2"/>
      <c r="F30" s="21"/>
      <c r="G30" s="3"/>
      <c r="H30" s="3"/>
      <c r="I30" s="10"/>
      <c r="J30" s="3"/>
      <c r="K30" s="3"/>
      <c r="L30" s="3"/>
      <c r="M30" s="21"/>
    </row>
    <row r="31" spans="2:17" x14ac:dyDescent="0.2">
      <c r="B31" s="10" t="s">
        <v>93</v>
      </c>
      <c r="C31" s="2"/>
      <c r="D31" s="2"/>
      <c r="E31" s="2"/>
      <c r="F31" s="20">
        <f ca="1">F29+F23</f>
        <v>15268.723427292512</v>
      </c>
      <c r="G31" s="3"/>
      <c r="H31" s="3"/>
      <c r="I31" s="10" t="s">
        <v>93</v>
      </c>
      <c r="J31" s="3"/>
      <c r="K31" s="3"/>
      <c r="L31" s="3"/>
      <c r="M31" s="20">
        <f ca="1">M29+M23</f>
        <v>15820.656617485045</v>
      </c>
    </row>
    <row r="32" spans="2:17" x14ac:dyDescent="0.2">
      <c r="B32" s="2"/>
      <c r="C32" s="2"/>
      <c r="D32" s="2"/>
      <c r="E32" s="2"/>
      <c r="F32" s="21"/>
      <c r="G32" s="3"/>
      <c r="H32" s="3"/>
      <c r="I32" s="3"/>
      <c r="J32" s="3"/>
      <c r="K32" s="3"/>
      <c r="L32" s="3"/>
      <c r="M32" s="21"/>
    </row>
    <row r="33" spans="2:14" x14ac:dyDescent="0.2">
      <c r="B33" s="3" t="s">
        <v>94</v>
      </c>
      <c r="C33" s="2"/>
      <c r="D33" s="2"/>
      <c r="E33" s="2"/>
      <c r="F33" s="24">
        <f ca="1">F31/(M8+M12)</f>
        <v>7.1666955413070053</v>
      </c>
      <c r="G33" s="3"/>
      <c r="H33" s="3"/>
      <c r="L33" s="3"/>
      <c r="M33" s="35"/>
      <c r="N33" s="69"/>
    </row>
    <row r="34" spans="2:14" x14ac:dyDescent="0.2">
      <c r="B34" s="10" t="s">
        <v>104</v>
      </c>
      <c r="F34" s="219">
        <v>5424</v>
      </c>
      <c r="G34" s="218" t="s">
        <v>194</v>
      </c>
      <c r="I34" s="10" t="s">
        <v>104</v>
      </c>
      <c r="M34" s="54">
        <v>5490</v>
      </c>
    </row>
    <row r="35" spans="2:14" x14ac:dyDescent="0.2">
      <c r="B35" s="10" t="s">
        <v>100</v>
      </c>
      <c r="F35" s="70">
        <f ca="1">F31-F34</f>
        <v>9844.7234272925125</v>
      </c>
      <c r="G35" s="71"/>
      <c r="I35" s="10" t="s">
        <v>100</v>
      </c>
      <c r="M35" s="70">
        <f ca="1">M31-M34</f>
        <v>10330.656617485045</v>
      </c>
      <c r="N35" s="71"/>
    </row>
    <row r="36" spans="2:14" x14ac:dyDescent="0.2">
      <c r="B36" s="10" t="s">
        <v>193</v>
      </c>
      <c r="F36" s="54">
        <v>159</v>
      </c>
      <c r="I36" s="10" t="s">
        <v>193</v>
      </c>
      <c r="M36" s="54">
        <v>159</v>
      </c>
    </row>
    <row r="37" spans="2:14" x14ac:dyDescent="0.2">
      <c r="B37" s="10" t="s">
        <v>101</v>
      </c>
      <c r="F37" s="72">
        <f ca="1">F35/F36</f>
        <v>61.916499542720203</v>
      </c>
      <c r="I37" s="10" t="s">
        <v>101</v>
      </c>
      <c r="M37" s="72">
        <f ca="1">M35/M36</f>
        <v>64.972683128836763</v>
      </c>
    </row>
    <row r="38" spans="2:14" x14ac:dyDescent="0.2">
      <c r="B38" s="10" t="s">
        <v>102</v>
      </c>
      <c r="F38" s="73">
        <v>54.39</v>
      </c>
      <c r="G38" s="218" t="s">
        <v>195</v>
      </c>
      <c r="I38" s="10" t="s">
        <v>102</v>
      </c>
      <c r="M38" s="73">
        <v>54.39</v>
      </c>
    </row>
    <row r="39" spans="2:14" x14ac:dyDescent="0.2">
      <c r="B39" s="10" t="s">
        <v>103</v>
      </c>
      <c r="F39" s="74">
        <f ca="1">F37/F38-1</f>
        <v>0.13838020854422139</v>
      </c>
      <c r="I39" s="10" t="s">
        <v>103</v>
      </c>
      <c r="M39" s="74">
        <f ca="1">M37/M38-1</f>
        <v>0.19457038295342466</v>
      </c>
    </row>
  </sheetData>
  <mergeCells count="1">
    <mergeCell ref="I2:M2"/>
  </mergeCells>
  <pageMargins left="0.7" right="0.7" top="0.75" bottom="0.75" header="0.3" footer="0.3"/>
  <pageSetup scale="77" orientation="portrait" r:id="rId1"/>
  <customProperties>
    <customPr name="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7234-0A7C-49EF-95E1-8C14BB836026}">
  <dimension ref="A1:AI1"/>
  <sheetViews>
    <sheetView workbookViewId="0"/>
  </sheetViews>
  <sheetFormatPr defaultRowHeight="15" x14ac:dyDescent="0.25"/>
  <sheetData>
    <row r="1" spans="1:35" x14ac:dyDescent="0.25">
      <c r="A1">
        <v>35</v>
      </c>
      <c r="B1" t="s">
        <v>196</v>
      </c>
      <c r="C1" t="s">
        <v>197</v>
      </c>
      <c r="D1" t="s">
        <v>198</v>
      </c>
      <c r="E1" t="s">
        <v>199</v>
      </c>
      <c r="F1" t="s">
        <v>200</v>
      </c>
      <c r="G1" t="s">
        <v>201</v>
      </c>
      <c r="H1" t="s">
        <v>202</v>
      </c>
      <c r="I1" t="s">
        <v>203</v>
      </c>
      <c r="J1" t="s">
        <v>204</v>
      </c>
      <c r="K1" t="s">
        <v>205</v>
      </c>
      <c r="L1" t="s">
        <v>206</v>
      </c>
      <c r="M1" t="s">
        <v>207</v>
      </c>
      <c r="N1" t="s">
        <v>208</v>
      </c>
      <c r="O1" t="s">
        <v>209</v>
      </c>
      <c r="P1" t="s">
        <v>210</v>
      </c>
      <c r="Q1" t="s">
        <v>211</v>
      </c>
      <c r="R1" t="s">
        <v>212</v>
      </c>
      <c r="S1" t="s">
        <v>213</v>
      </c>
      <c r="T1" t="s">
        <v>214</v>
      </c>
      <c r="U1" t="s">
        <v>215</v>
      </c>
      <c r="V1" t="s">
        <v>216</v>
      </c>
      <c r="W1" t="s">
        <v>217</v>
      </c>
      <c r="X1" t="s">
        <v>218</v>
      </c>
      <c r="Y1" t="s">
        <v>219</v>
      </c>
      <c r="Z1" t="s">
        <v>220</v>
      </c>
      <c r="AA1" t="s">
        <v>221</v>
      </c>
      <c r="AB1" t="s">
        <v>222</v>
      </c>
      <c r="AC1" t="s">
        <v>223</v>
      </c>
      <c r="AD1" t="s">
        <v>224</v>
      </c>
      <c r="AE1" t="s">
        <v>225</v>
      </c>
      <c r="AF1" t="s">
        <v>226</v>
      </c>
      <c r="AG1" t="s">
        <v>227</v>
      </c>
      <c r="AH1" t="s">
        <v>228</v>
      </c>
      <c r="AI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F97D-2FCC-41E5-92D2-19E563FDF29C}">
  <sheetPr>
    <pageSetUpPr fitToPage="1"/>
  </sheetPr>
  <dimension ref="B2:AL79"/>
  <sheetViews>
    <sheetView showGridLines="0" tabSelected="1" view="pageBreakPreview" zoomScale="60" zoomScaleNormal="100" workbookViewId="0">
      <selection activeCell="L50" sqref="L50"/>
    </sheetView>
  </sheetViews>
  <sheetFormatPr defaultRowHeight="14.25" x14ac:dyDescent="0.2"/>
  <cols>
    <col min="1" max="1" width="9.140625" style="36"/>
    <col min="2" max="2" width="34.85546875" style="36" bestFit="1" customWidth="1"/>
    <col min="3" max="3" width="1.7109375" style="36" customWidth="1"/>
    <col min="4" max="4" width="20.85546875" style="36" bestFit="1" customWidth="1"/>
    <col min="5" max="5" width="1.7109375" style="36" customWidth="1"/>
    <col min="6" max="6" width="24.85546875" style="56" bestFit="1" customWidth="1"/>
    <col min="7" max="7" width="1.7109375" style="36" customWidth="1"/>
    <col min="8" max="8" width="21.28515625" style="56" bestFit="1" customWidth="1"/>
    <col min="9" max="9" width="1.7109375" style="36" customWidth="1"/>
    <col min="10" max="10" width="17.28515625" style="56" bestFit="1" customWidth="1"/>
    <col min="11" max="11" width="1.7109375" style="36" customWidth="1"/>
    <col min="12" max="12" width="24.85546875" style="56" bestFit="1" customWidth="1"/>
    <col min="13" max="13" width="1.7109375" style="36" customWidth="1"/>
    <col min="14" max="14" width="19.140625" style="56" bestFit="1" customWidth="1"/>
    <col min="15" max="15" width="1.7109375" style="36" customWidth="1"/>
    <col min="16" max="16" width="17.7109375" style="56" bestFit="1" customWidth="1"/>
    <col min="17" max="16384" width="9.140625" style="36"/>
  </cols>
  <sheetData>
    <row r="2" spans="2:38" ht="15" x14ac:dyDescent="0.25">
      <c r="B2" s="40"/>
      <c r="C2" s="40"/>
      <c r="D2" s="41" t="s">
        <v>134</v>
      </c>
      <c r="E2" s="40"/>
      <c r="F2" s="41" t="s">
        <v>135</v>
      </c>
      <c r="G2" s="40"/>
      <c r="H2" s="41" t="s">
        <v>124</v>
      </c>
      <c r="I2" s="40"/>
      <c r="J2" s="41" t="s">
        <v>125</v>
      </c>
      <c r="K2" s="40"/>
      <c r="L2" s="41" t="s">
        <v>126</v>
      </c>
      <c r="M2" s="40"/>
      <c r="N2" s="41" t="s">
        <v>127</v>
      </c>
      <c r="O2" s="40"/>
      <c r="P2" s="41" t="s">
        <v>133</v>
      </c>
    </row>
    <row r="3" spans="2:38" ht="15" x14ac:dyDescent="0.25">
      <c r="B3" s="41" t="s">
        <v>137</v>
      </c>
      <c r="C3" s="40"/>
      <c r="D3" s="40"/>
      <c r="E3" s="40"/>
      <c r="F3" s="42"/>
      <c r="G3" s="40"/>
      <c r="H3" s="42"/>
      <c r="I3" s="40"/>
      <c r="J3" s="42"/>
      <c r="K3" s="40"/>
      <c r="L3" s="42"/>
      <c r="M3" s="40"/>
      <c r="N3" s="42"/>
      <c r="O3" s="40"/>
      <c r="P3" s="42"/>
    </row>
    <row r="4" spans="2:38" x14ac:dyDescent="0.2">
      <c r="B4" s="36" t="s">
        <v>148</v>
      </c>
      <c r="D4" s="43">
        <f>_xll.ciqfunctions.udf.CIQ(Q23,"IQ_CLOSEPRICE")</f>
        <v>14.38</v>
      </c>
      <c r="E4" s="43"/>
      <c r="F4" s="155">
        <f>D4/_xll.ciqfunctions.udf.CIQ(Q23,"IQ_YEARHIGH")</f>
        <v>0.73479816044966784</v>
      </c>
      <c r="G4" s="45"/>
      <c r="H4" s="46">
        <f>_xll.ciqfunctions.udf.CIQ(Q23,"IQ_MARKETCAP")</f>
        <v>1769.4883199999999</v>
      </c>
      <c r="I4" s="47"/>
      <c r="J4" s="48">
        <f>_xll.ciqfunctions.udf.CIQ(Q23, "IQ_PE_EXCL_FWD")</f>
        <v>7.4744000000000002</v>
      </c>
      <c r="K4" s="49"/>
      <c r="L4" s="48">
        <f>_xll.ciqfunctions.udf.CIQ(Q23,"IQ_TEV")/T4</f>
        <v>6.756449476716254</v>
      </c>
      <c r="M4" s="49"/>
      <c r="N4" s="48">
        <f>_xll.ciqfunctions.udf.CIQ(Q23,"IQ_TEV")/U4</f>
        <v>12.944597090612557</v>
      </c>
      <c r="O4" s="49"/>
      <c r="P4" s="50">
        <v>277.12</v>
      </c>
      <c r="T4" s="36">
        <f>_xll.ciqfunctions.udf.CIQ(Q23,"IQ_EBITDA_EST",IQ_NTM)</f>
        <v>687.91549999999995</v>
      </c>
      <c r="U4" s="36">
        <f>_xll.ciqfunctions.udf.CIQ(Q23,"IQ_EBIT_EST",IQ_NTM)</f>
        <v>359.05840000000001</v>
      </c>
    </row>
    <row r="5" spans="2:38" x14ac:dyDescent="0.2">
      <c r="B5" s="36" t="s">
        <v>149</v>
      </c>
      <c r="D5" s="43">
        <f>_xll.ciqfunctions.udf.CIQ(Q24,"IQ_CLOSEPRICE")</f>
        <v>17.73</v>
      </c>
      <c r="E5" s="43"/>
      <c r="F5" s="155">
        <f>D5/_xll.ciqfunctions.udf.CIQ(Q24,"IQ_YEARHIGH")</f>
        <v>0.56482956355527236</v>
      </c>
      <c r="G5" s="45"/>
      <c r="H5" s="46">
        <f>_xll.ciqfunctions.udf.CIQ(Q24,"IQ_MARKETCAP")</f>
        <v>6662.7138800000002</v>
      </c>
      <c r="I5" s="47"/>
      <c r="J5" s="48">
        <f>_xll.ciqfunctions.udf.CIQ(Q24, "IQ_PE_EXCL_FWD")</f>
        <v>8.5084900000000001</v>
      </c>
      <c r="K5" s="49"/>
      <c r="L5" s="48">
        <f>_xll.ciqfunctions.udf.CIQ(Q24,"IQ_TEV")/T5</f>
        <v>7.9032459636822372</v>
      </c>
      <c r="M5" s="49"/>
      <c r="N5" s="48">
        <f>_xll.ciqfunctions.udf.CIQ(Q24,"IQ_TEV")/U5</f>
        <v>12.03874867805059</v>
      </c>
      <c r="O5" s="49"/>
      <c r="P5" s="50" t="s">
        <v>132</v>
      </c>
      <c r="T5" s="36">
        <f>_xll.ciqfunctions.udf.CIQ(Q24,"IQ_EBITDA_EST",IQ_NTM)</f>
        <v>1648.78</v>
      </c>
      <c r="U5" s="36">
        <f>_xll.ciqfunctions.udf.CIQ(Q24,"IQ_EBIT_EST",IQ_NTM)</f>
        <v>1082.3977</v>
      </c>
    </row>
    <row r="6" spans="2:38" ht="15" x14ac:dyDescent="0.25">
      <c r="B6" s="36" t="s">
        <v>150</v>
      </c>
      <c r="D6" s="43">
        <f>_xll.ciqfunctions.udf.CIQ(Q25,"IQ_CLOSEPRICE")</f>
        <v>17.95</v>
      </c>
      <c r="E6" s="43"/>
      <c r="F6" s="155">
        <f>D6/_xll.ciqfunctions.udf.CIQ(Q25,"IQ_YEARHIGH")</f>
        <v>0.47236842105263155</v>
      </c>
      <c r="G6" s="45"/>
      <c r="H6" s="46">
        <f>_xll.ciqfunctions.udf.CIQ(Q25,"IQ_MARKETCAP")</f>
        <v>4961.2293300000001</v>
      </c>
      <c r="I6" s="47"/>
      <c r="J6" s="48">
        <f>_xll.ciqfunctions.udf.CIQ(Q25, "IQ_PE_EXCL_FWD")</f>
        <v>7.4124499999999998</v>
      </c>
      <c r="K6" s="49"/>
      <c r="L6" s="48">
        <f>_xll.ciqfunctions.udf.CIQ(Q25,"IQ_TEV")/T6</f>
        <v>7.2204480095191501</v>
      </c>
      <c r="M6" s="49"/>
      <c r="N6" s="48">
        <f>_xll.ciqfunctions.udf.CIQ(Q25,"IQ_TEV")/U6</f>
        <v>10.480678289679821</v>
      </c>
      <c r="O6" s="49"/>
      <c r="P6" s="50">
        <v>1056.76</v>
      </c>
      <c r="T6" s="36">
        <f>_xll.ciqfunctions.udf.CIQ(Q25,"IQ_EBITDA_EST",IQ_NTM)</f>
        <v>1842.8536999999999</v>
      </c>
      <c r="U6" s="36">
        <f>_xll.ciqfunctions.udf.CIQ(Q25,"IQ_EBIT_EST",IQ_NTM)</f>
        <v>1269.5962</v>
      </c>
      <c r="V6"/>
      <c r="W6" s="15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2:38" ht="15" x14ac:dyDescent="0.25">
      <c r="B7" s="36" t="s">
        <v>151</v>
      </c>
      <c r="D7" s="43">
        <f>_xll.ciqfunctions.udf.CIQ(Q26,"IQ_CLOSEPRICE")</f>
        <v>15.97</v>
      </c>
      <c r="E7" s="43"/>
      <c r="F7" s="155">
        <f>D7/_xll.ciqfunctions.udf.CIQ(Q26,"IQ_YEARHIGH")</f>
        <v>0.41642764015645373</v>
      </c>
      <c r="G7" s="45"/>
      <c r="H7" s="46">
        <f>_xll.ciqfunctions.udf.CIQ(Q26,"IQ_MARKETCAP")</f>
        <v>4933.3708399999996</v>
      </c>
      <c r="I7" s="47"/>
      <c r="J7" s="48">
        <f>_xll.ciqfunctions.udf.CIQ(Q26, "IQ_PE_EXCL_FWD")</f>
        <v>5.8515300000000003</v>
      </c>
      <c r="K7" s="49"/>
      <c r="L7" s="48">
        <f>_xll.ciqfunctions.udf.CIQ(Q26,"IQ_TEV")/T7</f>
        <v>5.6870678473831147</v>
      </c>
      <c r="M7" s="49"/>
      <c r="N7" s="48">
        <f>_xll.ciqfunctions.udf.CIQ(Q26,"IQ_TEV")/U7</f>
        <v>8.8364455675713245</v>
      </c>
      <c r="O7" s="49"/>
      <c r="P7" s="50">
        <v>202.97</v>
      </c>
      <c r="T7" s="36">
        <f>_xll.ciqfunctions.udf.CIQ(Q26,"IQ_EBITDA_EST",IQ_NTM)</f>
        <v>2133.3262</v>
      </c>
      <c r="U7" s="36">
        <f>_xll.ciqfunctions.udf.CIQ(Q26,"IQ_EBIT_EST",IQ_NTM)</f>
        <v>1372.9921999999999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2:38" ht="15" x14ac:dyDescent="0.25">
      <c r="B8" s="36" t="s">
        <v>152</v>
      </c>
      <c r="D8" s="43">
        <f>_xll.ciqfunctions.udf.CIQ(Q27,"IQ_CLOSEPRICE")</f>
        <v>36.729999999999997</v>
      </c>
      <c r="E8" s="43"/>
      <c r="F8" s="155">
        <f>D8/_xll.ciqfunctions.udf.CIQ(Q27,"IQ_YEARHIGH")</f>
        <v>0.54657738095238084</v>
      </c>
      <c r="G8" s="45"/>
      <c r="H8" s="46">
        <f>_xll.ciqfunctions.udf.CIQ(Q27,"IQ_MARKETCAP")</f>
        <v>5690.0210500000003</v>
      </c>
      <c r="I8" s="47"/>
      <c r="J8" s="48">
        <f>_xll.ciqfunctions.udf.CIQ(Q27, "IQ_PE_EXCL_FWD")</f>
        <v>11.07727</v>
      </c>
      <c r="K8" s="49"/>
      <c r="L8" s="48">
        <f>_xll.ciqfunctions.udf.CIQ(Q27,"IQ_TEV")/T8</f>
        <v>6.3795995787511828</v>
      </c>
      <c r="M8" s="49"/>
      <c r="N8" s="48">
        <f>_xll.ciqfunctions.udf.CIQ(Q27,"IQ_TEV")/U8</f>
        <v>11.599959914043286</v>
      </c>
      <c r="O8" s="49"/>
      <c r="P8" s="50" t="s">
        <v>132</v>
      </c>
      <c r="T8" s="36">
        <f>_xll.ciqfunctions.udf.CIQ(Q27,"IQ_EBITDA_EST",IQ_NTM)</f>
        <v>1498.6867</v>
      </c>
      <c r="U8" s="36">
        <f>_xll.ciqfunctions.udf.CIQ(Q27,"IQ_EBIT_EST",IQ_NTM)</f>
        <v>824.22879999999998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2:38" ht="15" x14ac:dyDescent="0.25">
      <c r="B9" s="36" t="s">
        <v>153</v>
      </c>
      <c r="D9" s="43">
        <f>_xll.ciqfunctions.udf.CIQ(Q28,"IQ_CLOSEPRICE")</f>
        <v>112.26</v>
      </c>
      <c r="E9" s="43"/>
      <c r="F9" s="155">
        <f>D9/_xll.ciqfunctions.udf.CIQ(Q28,"IQ_YEARHIGH")</f>
        <v>0.97766165904637492</v>
      </c>
      <c r="G9" s="45"/>
      <c r="H9" s="46">
        <f>_xll.ciqfunctions.udf.CIQ(Q28,"IQ_MARKETCAP")</f>
        <v>40607.856950000001</v>
      </c>
      <c r="I9" s="47"/>
      <c r="J9" s="48">
        <f>_xll.ciqfunctions.udf.CIQ(Q28, "IQ_PE_EXCL_FWD")</f>
        <v>23.581060000000001</v>
      </c>
      <c r="K9" s="49"/>
      <c r="L9" s="48">
        <f>_xll.ciqfunctions.udf.CIQ(Q28,"IQ_TEV")/T9</f>
        <v>16.226425557483491</v>
      </c>
      <c r="M9" s="49"/>
      <c r="N9" s="48">
        <f>_xll.ciqfunctions.udf.CIQ(Q28,"IQ_TEV")/U9</f>
        <v>19.167662621049281</v>
      </c>
      <c r="O9" s="49"/>
      <c r="P9" s="50">
        <v>422.07</v>
      </c>
      <c r="T9" s="36">
        <f>_xll.ciqfunctions.udf.CIQ(Q28,"IQ_EBITDA_EST",IQ_NTM)</f>
        <v>2624.3960999999999</v>
      </c>
      <c r="U9" s="36">
        <f>_xll.ciqfunctions.udf.CIQ(Q28,"IQ_EBIT_EST",IQ_NTM)</f>
        <v>2221.6880999999998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2:38" ht="15" x14ac:dyDescent="0.25">
      <c r="B10" s="36" t="s">
        <v>154</v>
      </c>
      <c r="D10" s="43">
        <f>_xll.ciqfunctions.udf.CIQ(Q29,"IQ_CLOSEPRICE")</f>
        <v>110.51</v>
      </c>
      <c r="E10" s="43"/>
      <c r="F10" s="155">
        <f>D10/_xll.ciqfunctions.udf.CIQ(Q29,"IQ_YEARHIGH")</f>
        <v>0.96237916920665334</v>
      </c>
      <c r="G10" s="45"/>
      <c r="H10" s="46">
        <f>_xll.ciqfunctions.udf.CIQ(Q29,"IQ_MARKETCAP")</f>
        <v>56462.71041</v>
      </c>
      <c r="I10" s="47"/>
      <c r="J10" s="48">
        <f>_xll.ciqfunctions.udf.CIQ(Q29, "IQ_PE_EXCL_FWD")</f>
        <v>17.327559999999998</v>
      </c>
      <c r="K10" s="49"/>
      <c r="L10" s="48">
        <f>_xll.ciqfunctions.udf.CIQ(Q29,"IQ_TEV")/T10</f>
        <v>9.831243282815155</v>
      </c>
      <c r="M10" s="49"/>
      <c r="N10" s="48">
        <f>_xll.ciqfunctions.udf.CIQ(Q29,"IQ_TEV")/U10</f>
        <v>14.754390597011483</v>
      </c>
      <c r="O10" s="49"/>
      <c r="P10" s="50">
        <v>314.68</v>
      </c>
      <c r="T10" s="36">
        <f>_xll.ciqfunctions.udf.CIQ(Q29,"IQ_EBITDA_EST",IQ_NTM)</f>
        <v>6978.7420000000002</v>
      </c>
      <c r="U10" s="36">
        <f>_xll.ciqfunctions.udf.CIQ(Q29,"IQ_EBIT_EST",IQ_NTM)</f>
        <v>4650.1216000000004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2:38" ht="15" x14ac:dyDescent="0.25">
      <c r="B11" s="36" t="s">
        <v>155</v>
      </c>
      <c r="D11" s="43">
        <f>_xll.ciqfunctions.udf.CIQ(Q30,"IQ_CLOSEPRICE")</f>
        <v>58.83</v>
      </c>
      <c r="E11" s="43"/>
      <c r="F11" s="155">
        <f>D11/_xll.ciqfunctions.udf.CIQ(Q30,"IQ_YEARHIGH")</f>
        <v>0.96616850057480697</v>
      </c>
      <c r="G11" s="45"/>
      <c r="H11" s="46">
        <f>_xll.ciqfunctions.udf.CIQ(Q30,"IQ_MARKETCAP")</f>
        <v>71121.508799999996</v>
      </c>
      <c r="I11" s="47"/>
      <c r="J11" s="48">
        <f>_xll.ciqfunctions.udf.CIQ(Q30, "IQ_PE_EXCL_FWD")</f>
        <v>21.726120000000002</v>
      </c>
      <c r="K11" s="49"/>
      <c r="L11" s="48">
        <f>_xll.ciqfunctions.udf.CIQ(Q30,"IQ_TEV")/T11</f>
        <v>15.027382910924656</v>
      </c>
      <c r="M11" s="49"/>
      <c r="N11" s="48">
        <f>_xll.ciqfunctions.udf.CIQ(Q30,"IQ_TEV")/U11</f>
        <v>18.113196393492633</v>
      </c>
      <c r="O11" s="49"/>
      <c r="P11" s="50">
        <v>436.37</v>
      </c>
      <c r="T11" s="36">
        <f>_xll.ciqfunctions.udf.CIQ(Q30,"IQ_EBITDA_EST",IQ_NTM)</f>
        <v>5341.3715000000002</v>
      </c>
      <c r="U11" s="36">
        <f>_xll.ciqfunctions.udf.CIQ(Q30,"IQ_EBIT_EST",IQ_NTM)</f>
        <v>4431.4008999999996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2:38" ht="15" x14ac:dyDescent="0.25">
      <c r="D12" s="43"/>
      <c r="E12" s="43"/>
      <c r="F12" s="44"/>
      <c r="G12" s="45"/>
      <c r="H12" s="51"/>
      <c r="I12" s="52"/>
      <c r="J12" s="53"/>
      <c r="K12" s="54"/>
      <c r="L12" s="53"/>
      <c r="M12" s="54"/>
      <c r="N12" s="53"/>
      <c r="O12" s="54"/>
      <c r="P12" s="50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2:38" ht="15" x14ac:dyDescent="0.25">
      <c r="D13" s="43"/>
      <c r="E13" s="43"/>
      <c r="F13" s="44"/>
      <c r="G13" s="45"/>
      <c r="H13" s="51"/>
      <c r="I13" s="52"/>
      <c r="J13" s="53"/>
      <c r="K13" s="54"/>
      <c r="L13" s="53"/>
      <c r="M13" s="54"/>
      <c r="N13" s="53"/>
      <c r="O13" s="54"/>
      <c r="P13" s="50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2:38" ht="15" x14ac:dyDescent="0.25">
      <c r="B14" s="128" t="s">
        <v>131</v>
      </c>
      <c r="C14" s="123"/>
      <c r="D14" s="124">
        <f>_xll.ciqfunctions.udf.CIQ(Q33,"IQ_CLOSEPRICE")</f>
        <v>54.39</v>
      </c>
      <c r="E14" s="124"/>
      <c r="F14" s="125">
        <f>D14/_xll.ciqfunctions.udf.CIQ(Q33,"IQ_YEARHIGH")</f>
        <v>0.65309798270893371</v>
      </c>
      <c r="G14" s="125"/>
      <c r="H14" s="126">
        <f>_xll.ciqfunctions.udf.CIQ(Q33,"IQ_MARKETCAP")</f>
        <v>8654.9031699999996</v>
      </c>
      <c r="I14" s="126"/>
      <c r="J14" s="127">
        <f>_xll.ciqfunctions.udf.CIQ(Q33, "IQ_PE_EXCL_FWD")</f>
        <v>10.31012</v>
      </c>
      <c r="K14" s="127"/>
      <c r="L14" s="127">
        <f>_xll.ciqfunctions.udf.CIQ(Q33,"IQ_TEV")/T14</f>
        <v>6.4355922422033665</v>
      </c>
      <c r="M14" s="127"/>
      <c r="N14" s="127">
        <f>_xll.ciqfunctions.udf.CIQ(Q33,"IQ_TEV")/U14</f>
        <v>11.009900118037201</v>
      </c>
      <c r="O14" s="127"/>
      <c r="P14" s="129">
        <v>436.37</v>
      </c>
      <c r="T14" s="36">
        <f>_xll.ciqfunctions.udf.CIQ(Q33,"IQ_EBITDA_EST",IQ_NTM)</f>
        <v>2187.6624000000002</v>
      </c>
      <c r="U14" s="36">
        <f>_xll.ciqfunctions.udf.CIQ(Q33,"IQ_EBIT_EST",IQ_NTM)</f>
        <v>1278.7493999999999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2:38" ht="15" x14ac:dyDescent="0.25">
      <c r="F15" s="36"/>
      <c r="H15" s="36"/>
      <c r="J15" s="48"/>
      <c r="L15" s="36"/>
      <c r="N15" s="36"/>
      <c r="P15" s="36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2:38" ht="15" x14ac:dyDescent="0.25">
      <c r="H16" s="59" t="s">
        <v>128</v>
      </c>
      <c r="I16" s="60"/>
      <c r="J16" s="61">
        <f>AVERAGE(J4:J11)</f>
        <v>12.869859999999999</v>
      </c>
      <c r="K16" s="61"/>
      <c r="L16" s="61">
        <f>AVERAGE(L4:L11)</f>
        <v>9.3789828284094057</v>
      </c>
      <c r="M16" s="61"/>
      <c r="N16" s="62">
        <f>AVERAGE(N4:N11)</f>
        <v>13.491959893938871</v>
      </c>
      <c r="O16" s="49"/>
      <c r="P16" s="5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2:38" ht="15" x14ac:dyDescent="0.25">
      <c r="H17" s="63" t="s">
        <v>129</v>
      </c>
      <c r="I17" s="53"/>
      <c r="J17" s="48">
        <f>PERCENTILE(J4:J11,0.25)</f>
        <v>7.4589125000000003</v>
      </c>
      <c r="K17" s="48"/>
      <c r="L17" s="48">
        <f>QUARTILE(L4:L11,1)</f>
        <v>6.6622370022249857</v>
      </c>
      <c r="M17" s="48"/>
      <c r="N17" s="64">
        <f>QUARTILE(N4:N11,1)</f>
        <v>11.320139507952419</v>
      </c>
      <c r="O17" s="49"/>
      <c r="P17" s="53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2:38" ht="15" x14ac:dyDescent="0.25">
      <c r="H18" s="65" t="s">
        <v>130</v>
      </c>
      <c r="I18" s="66"/>
      <c r="J18" s="67">
        <f>PERCENTILE(J4:J11,0.75)</f>
        <v>18.427199999999999</v>
      </c>
      <c r="K18" s="67"/>
      <c r="L18" s="67">
        <f>PERCENTILE(L4:L11,0.75)</f>
        <v>11.13027818984253</v>
      </c>
      <c r="M18" s="67"/>
      <c r="N18" s="68">
        <f>PERCENTILE(N4:N11,0.75)</f>
        <v>15.59409204613177</v>
      </c>
      <c r="O18" s="49"/>
      <c r="P18" s="53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2:38" ht="15" x14ac:dyDescent="0.25"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2:38" ht="15" x14ac:dyDescent="0.25"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2:38" ht="15" x14ac:dyDescent="0.25">
      <c r="B21" s="40"/>
      <c r="C21" s="40"/>
      <c r="D21" s="143" t="s">
        <v>183</v>
      </c>
      <c r="E21" s="144"/>
      <c r="F21" s="143" t="s">
        <v>169</v>
      </c>
      <c r="G21" s="144"/>
      <c r="H21" s="143" t="s">
        <v>168</v>
      </c>
      <c r="I21" s="144"/>
      <c r="J21" s="143" t="s">
        <v>170</v>
      </c>
      <c r="K21" s="144"/>
      <c r="L21" s="143" t="s">
        <v>171</v>
      </c>
      <c r="M21" s="144"/>
      <c r="N21" s="143" t="s">
        <v>172</v>
      </c>
      <c r="O21" s="144"/>
      <c r="P21" s="143" t="s">
        <v>173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2:38" ht="15" x14ac:dyDescent="0.25">
      <c r="B22" s="41" t="s">
        <v>137</v>
      </c>
      <c r="C22" s="40"/>
      <c r="D22" s="40"/>
      <c r="E22" s="40"/>
      <c r="F22" s="42"/>
      <c r="G22" s="40"/>
      <c r="H22" s="42"/>
      <c r="I22" s="40"/>
      <c r="J22" s="42"/>
      <c r="K22" s="40"/>
      <c r="L22" s="42"/>
      <c r="M22" s="40"/>
      <c r="N22" s="42"/>
      <c r="O22" s="40"/>
      <c r="P22" s="4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2:38" ht="15" x14ac:dyDescent="0.25">
      <c r="B23" s="36" t="s">
        <v>148</v>
      </c>
      <c r="D23" s="120">
        <f>_xll.ciqfunctions.udf.CIQ(Q23,"IQ_SAME_STORE",IQ_CQ)/100</f>
        <v>-6.7000000000000004E-2</v>
      </c>
      <c r="E23" s="38">
        <v>0</v>
      </c>
      <c r="F23" s="38">
        <f xml:space="preserve"> _xll.ciqfunctions.udf.CIQ(Q23,"IQ_EBITDA_1YR_ANN_GROWTH")/100</f>
        <v>-0.45275799999999999</v>
      </c>
      <c r="G23" s="38">
        <v>0</v>
      </c>
      <c r="H23" s="38">
        <f>_xll.ciqfunctions.udf.CIQ(Q23,"IQ_EBITDA_MARGIN",IQ_FY)/100</f>
        <v>6.3314000000000009E-2</v>
      </c>
      <c r="I23" s="38">
        <v>0</v>
      </c>
      <c r="J23" s="38">
        <f>_xll.ciqfunctions.udf.CIQ(Q23,"IQ_EBIT_MARGIN",IQ_FY)/100</f>
        <v>3.5146000000000004E-2</v>
      </c>
      <c r="K23" s="38">
        <v>0</v>
      </c>
      <c r="L23" s="157" t="str">
        <f>IFERROR(_xll.ciqfunctions.udf.CIQ(Q23,"IQ_EPS_1YR_ANN_GROWTH")/100,"NM")</f>
        <v>NM</v>
      </c>
      <c r="M23" s="38">
        <v>0</v>
      </c>
      <c r="N23" s="38">
        <f>-_xll.ciqfunctions.udf.CIQ(Q23,"IQ_CAPEX",IQ_FY)/_xll.ciqfunctions.udf.CIQ(Q23,"IQ_TOTAL_REV",IQ_FY)</f>
        <v>2.7048922681129291E-2</v>
      </c>
      <c r="O23" s="38">
        <v>0</v>
      </c>
      <c r="P23" s="38">
        <f>(_xll.ciqfunctions.udf.CIQ(Q23,"IQ_NI",IQ_FY)+_xll.ciqfunctions.udf.CIQ(Q23,"IQ_COMMON_DIV_CF",IQ_FY))/(_xll.ciqfunctions.udf.CIQ(Q23,"IQ_TOTAL_DEBT",IQ_FY)+_xll.ciqfunctions.udf.CIQ(Q23,"IQ_TOTAL_EQUITY",IQ_FY))</f>
        <v>-5.3858526517693517E-2</v>
      </c>
      <c r="Q23" s="36" t="s">
        <v>177</v>
      </c>
      <c r="R23" s="36">
        <f>_xll.ciqfunctions.udf.CIQ(Q23,"IQ_COMMON_DIV_CF",IQ_FY)</f>
        <v>-86.287000000000006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2:38" ht="15" x14ac:dyDescent="0.25">
      <c r="B24" s="36" t="s">
        <v>149</v>
      </c>
      <c r="D24" s="120">
        <f>_xll.ciqfunctions.udf.CIQ(Q24,"IQ_SAME_STORE",IQ_CQ)/100</f>
        <v>-0.04</v>
      </c>
      <c r="E24" s="38">
        <v>0</v>
      </c>
      <c r="F24" s="38">
        <f xml:space="preserve"> _xll.ciqfunctions.udf.CIQ(Q24,"IQ_EBITDA_1YR_ANN_GROWTH")/100</f>
        <v>2.4729000000000001E-2</v>
      </c>
      <c r="G24" s="38">
        <v>0</v>
      </c>
      <c r="H24" s="38">
        <f>_xll.ciqfunctions.udf.CIQ(Q24,"IQ_EBITDA_MARGIN",IQ_FY)/100</f>
        <v>0.11773199999999999</v>
      </c>
      <c r="I24" s="38">
        <v>0</v>
      </c>
      <c r="J24" s="38">
        <f>_xll.ciqfunctions.udf.CIQ(Q24,"IQ_EBIT_MARGIN",IQ_FY)/100</f>
        <v>8.2870000000000013E-2</v>
      </c>
      <c r="K24" s="38">
        <v>0</v>
      </c>
      <c r="L24" s="157">
        <f>IFERROR(_xll.ciqfunctions.udf.CIQ(Q24,"IQ_EPS_1YR_ANN_GROWTH")/100,"NM")</f>
        <v>7.6413000000000009E-2</v>
      </c>
      <c r="M24" s="38">
        <v>0</v>
      </c>
      <c r="N24" s="38">
        <f>_xll.ciqfunctions.udf.CIQ(Q24,"IQ_CAPEX",IQ_FY)/_xll.ciqfunctions.udf.CIQ(Q24,"IQ_TOTAL_REV",IQ_FY)</f>
        <v>-4.2521109770808203E-2</v>
      </c>
      <c r="O24" s="38">
        <v>0</v>
      </c>
      <c r="P24" s="38">
        <f>(_xll.ciqfunctions.udf.CIQ(Q24,"IQ_NI",IQ_FY)+_xll.ciqfunctions.udf.CIQ(Q24,"IQ_COMMON_DIV_CF",IQ_FY))/(_xll.ciqfunctions.udf.CIQ(Q24,"IQ_TOTAL_DEBT",IQ_FY)+_xll.ciqfunctions.udf.CIQ(Q24,"IQ_TOTAL_EQUITY",IQ_FY))</f>
        <v>0.13119533527696792</v>
      </c>
      <c r="Q24" s="36" t="s">
        <v>174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2:38" x14ac:dyDescent="0.2">
      <c r="B25" s="36" t="s">
        <v>150</v>
      </c>
      <c r="D25" s="120">
        <f>_xll.ciqfunctions.udf.CIQ(Q25,"IQ_SAME_STORE",IQ_CQ)/100</f>
        <v>-0.01</v>
      </c>
      <c r="E25" s="38">
        <v>0</v>
      </c>
      <c r="F25" s="38">
        <f xml:space="preserve"> _xll.ciqfunctions.udf.CIQ(Q25,"IQ_EBITDA_1YR_ANN_GROWTH")/100</f>
        <v>-9.6980999999999998E-2</v>
      </c>
      <c r="G25" s="38">
        <v>0</v>
      </c>
      <c r="H25" s="38">
        <f>_xll.ciqfunctions.udf.CIQ(Q25,"IQ_EBITDA_MARGIN",IQ_FY)/100</f>
        <v>0.15335799999999999</v>
      </c>
      <c r="I25" s="38">
        <v>0</v>
      </c>
      <c r="J25" s="38">
        <f>_xll.ciqfunctions.udf.CIQ(Q25,"IQ_EBIT_MARGIN",IQ_FY)/100</f>
        <v>0.10878500000000001</v>
      </c>
      <c r="K25" s="38">
        <v>0</v>
      </c>
      <c r="L25" s="157">
        <f>IFERROR(_xll.ciqfunctions.udf.CIQ(Q25,"IQ_EPS_1YR_ANN_GROWTH")/100,"NM")</f>
        <v>-0.34374899999999997</v>
      </c>
      <c r="M25" s="38">
        <v>0</v>
      </c>
      <c r="N25" s="38">
        <v>4.7518319860995695E-2</v>
      </c>
      <c r="O25" s="38">
        <v>0</v>
      </c>
      <c r="P25" s="38">
        <f>(_xll.ciqfunctions.udf.CIQ(Q25,"IQ_NI",IQ_FY)+_xll.ciqfunctions.udf.CIQ(Q25,"IQ_COMMON_DIV_CF",IQ_FY))/(_xll.ciqfunctions.udf.CIQ(Q25,"IQ_TOTAL_DEBT",IQ_FY)+_xll.ciqfunctions.udf.CIQ(Q25,"IQ_TOTAL_EQUITY",IQ_FY))</f>
        <v>-4.4238890006032573E-3</v>
      </c>
      <c r="Q25" s="36" t="s">
        <v>175</v>
      </c>
    </row>
    <row r="26" spans="2:38" x14ac:dyDescent="0.2">
      <c r="B26" s="36" t="s">
        <v>151</v>
      </c>
      <c r="D26" s="120">
        <f>_xll.ciqfunctions.udf.CIQ(Q26,"IQ_SAME_STORE",IQ_CQ)/100</f>
        <v>2E-3</v>
      </c>
      <c r="E26" s="38">
        <v>0</v>
      </c>
      <c r="F26" s="38">
        <f xml:space="preserve"> _xll.ciqfunctions.udf.CIQ(Q26,"IQ_EBITDA_1YR_ANN_GROWTH")/100</f>
        <v>-0.151888</v>
      </c>
      <c r="G26" s="38">
        <v>0</v>
      </c>
      <c r="H26" s="38">
        <f>_xll.ciqfunctions.udf.CIQ(Q26,"IQ_EBITDA_MARGIN",IQ_FY)/100</f>
        <v>8.5394999999999999E-2</v>
      </c>
      <c r="I26" s="38">
        <v>0</v>
      </c>
      <c r="J26" s="38">
        <f>_xll.ciqfunctions.udf.CIQ(Q26,"IQ_EBIT_MARGIN",IQ_FY)/100</f>
        <v>5.9519999999999997E-2</v>
      </c>
      <c r="K26" s="38">
        <v>0</v>
      </c>
      <c r="L26" s="157">
        <f>IFERROR(_xll.ciqfunctions.udf.CIQ(Q26,"IQ_EPS_1YR_ANN_GROWTH")/100,"NM")</f>
        <v>-0.39524099999999995</v>
      </c>
      <c r="M26" s="38">
        <v>0</v>
      </c>
      <c r="N26" s="38">
        <v>2.5525467189867521E-2</v>
      </c>
      <c r="O26" s="38">
        <v>0</v>
      </c>
      <c r="P26" s="38">
        <f>(_xll.ciqfunctions.udf.CIQ(Q26,"IQ_NI",IQ_FY)+_xll.ciqfunctions.udf.CIQ(Q26,"IQ_COMMON_DIV_CF",IQ_FY))/(_xll.ciqfunctions.udf.CIQ(Q26,"IQ_TOTAL_DEBT",IQ_FY)+_xll.ciqfunctions.udf.CIQ(Q26,"IQ_TOTAL_EQUITY",IQ_FY))</f>
        <v>5.6743204011612564E-2</v>
      </c>
      <c r="Q26" s="36" t="s">
        <v>176</v>
      </c>
    </row>
    <row r="27" spans="2:38" x14ac:dyDescent="0.2">
      <c r="B27" s="36" t="s">
        <v>152</v>
      </c>
      <c r="D27" s="120">
        <f>_xll.ciqfunctions.udf.CIQ(Q27,"IQ_SAME_STORE",IQ_CQ)/100</f>
        <v>0</v>
      </c>
      <c r="E27" s="38">
        <v>0</v>
      </c>
      <c r="F27" s="38">
        <f xml:space="preserve"> _xll.ciqfunctions.udf.CIQ(Q27,"IQ_EBITDA_1YR_ANN_GROWTH")/100</f>
        <v>-0.11151799999999999</v>
      </c>
      <c r="G27" s="38">
        <v>0</v>
      </c>
      <c r="H27" s="38">
        <f>_xll.ciqfunctions.udf.CIQ(Q27,"IQ_EBITDA_MARGIN",IQ_FY)/100</f>
        <v>9.9495E-2</v>
      </c>
      <c r="I27" s="38">
        <v>0</v>
      </c>
      <c r="J27" s="38">
        <f>_xll.ciqfunctions.udf.CIQ(Q27,"IQ_EBIT_MARGIN",IQ_FY)/100</f>
        <v>5.7313000000000003E-2</v>
      </c>
      <c r="K27" s="38">
        <v>0</v>
      </c>
      <c r="L27" s="157">
        <f>IFERROR(_xll.ciqfunctions.udf.CIQ(Q27,"IQ_EPS_1YR_ANN_GROWTH")/100,"NM")</f>
        <v>6.5899999999999997E-4</v>
      </c>
      <c r="M27" s="38">
        <v>0</v>
      </c>
      <c r="N27" s="38">
        <v>4.1235813366960909E-2</v>
      </c>
      <c r="O27" s="38">
        <v>0</v>
      </c>
      <c r="P27" s="38">
        <f>(_xll.ciqfunctions.udf.CIQ(Q27,"IQ_NI",IQ_FY)+_xll.ciqfunctions.udf.CIQ(Q27,"IQ_COMMON_DIV_CF",IQ_FY))/(_xll.ciqfunctions.udf.CIQ(Q27,"IQ_TOTAL_DEBT",IQ_FY)+_xll.ciqfunctions.udf.CIQ(Q27,"IQ_TOTAL_EQUITY",IQ_FY))</f>
        <v>8.825182686902755E-2</v>
      </c>
      <c r="Q27" s="36" t="s">
        <v>178</v>
      </c>
    </row>
    <row r="28" spans="2:38" x14ac:dyDescent="0.2">
      <c r="B28" s="36" t="s">
        <v>153</v>
      </c>
      <c r="D28" s="120">
        <f>_xll.ciqfunctions.udf.CIQ(Q28,"IQ_SAME_STORE",IQ_CQ)/100</f>
        <v>0.03</v>
      </c>
      <c r="E28" s="38">
        <v>0</v>
      </c>
      <c r="F28" s="38">
        <f xml:space="preserve"> _xll.ciqfunctions.udf.CIQ(Q28,"IQ_EBITDA_1YR_ANN_GROWTH")/100</f>
        <v>-8.012E-3</v>
      </c>
      <c r="G28" s="38">
        <v>0</v>
      </c>
      <c r="H28" s="38">
        <f>_xll.ciqfunctions.udf.CIQ(Q28,"IQ_EBITDA_MARGIN",IQ_FY)/100</f>
        <v>0.158245</v>
      </c>
      <c r="I28" s="38">
        <v>0</v>
      </c>
      <c r="J28" s="38">
        <f>_xll.ciqfunctions.udf.CIQ(Q28,"IQ_EBIT_MARGIN",IQ_FY)/100</f>
        <v>0.13619700000000001</v>
      </c>
      <c r="K28" s="38">
        <v>0</v>
      </c>
      <c r="L28" s="157">
        <f>IFERROR(_xll.ciqfunctions.udf.CIQ(Q28,"IQ_EPS_1YR_ANN_GROWTH")/100,"NM")</f>
        <v>8.3154000000000006E-2</v>
      </c>
      <c r="M28" s="38">
        <v>0</v>
      </c>
      <c r="N28" s="38">
        <v>2.7623510357131204E-2</v>
      </c>
      <c r="O28" s="38">
        <v>0</v>
      </c>
      <c r="P28" s="38">
        <f>(_xll.ciqfunctions.udf.CIQ(Q28,"IQ_NI",IQ_FY)+_xll.ciqfunctions.udf.CIQ(Q28,"IQ_COMMON_DIV_CF",IQ_FY))/(_xll.ciqfunctions.udf.CIQ(Q28,"IQ_TOTAL_DEBT",IQ_FY)+_xll.ciqfunctions.udf.CIQ(Q28,"IQ_TOTAL_EQUITY",IQ_FY))</f>
        <v>0.34555105790581248</v>
      </c>
      <c r="Q28" s="36" t="s">
        <v>182</v>
      </c>
    </row>
    <row r="29" spans="2:38" x14ac:dyDescent="0.2">
      <c r="B29" s="36" t="s">
        <v>154</v>
      </c>
      <c r="D29" s="120">
        <f>_xll.ciqfunctions.udf.CIQ(Q29,"IQ_SAME_STORE",IQ_CQ)/100</f>
        <v>3.4000000000000002E-2</v>
      </c>
      <c r="E29" s="38">
        <v>0</v>
      </c>
      <c r="F29" s="38">
        <f xml:space="preserve"> _xll.ciqfunctions.udf.CIQ(Q29,"IQ_EBITDA_1YR_ANN_GROWTH")/100</f>
        <v>1.9785999999999998E-2</v>
      </c>
      <c r="G29" s="38">
        <v>0</v>
      </c>
      <c r="H29" s="38">
        <f>_xll.ciqfunctions.udf.CIQ(Q29,"IQ_EBITDA_MARGIN",IQ_FY)/100</f>
        <v>8.8924000000000003E-2</v>
      </c>
      <c r="I29" s="38">
        <v>0</v>
      </c>
      <c r="J29" s="38">
        <f>_xll.ciqfunctions.udf.CIQ(Q29,"IQ_EBIT_MARGIN",IQ_FY)/100</f>
        <v>5.6093000000000004E-2</v>
      </c>
      <c r="K29" s="38">
        <v>0</v>
      </c>
      <c r="L29" s="157">
        <f>IFERROR(_xll.ciqfunctions.udf.CIQ(Q29,"IQ_EPS_1YR_ANN_GROWTH")/100,"NM")</f>
        <v>6.1615000000000003E-2</v>
      </c>
      <c r="M29" s="38">
        <v>0</v>
      </c>
      <c r="N29" s="38">
        <v>4.665852752269229E-2</v>
      </c>
      <c r="O29" s="38">
        <v>0</v>
      </c>
      <c r="P29" s="38">
        <f>(_xll.ciqfunctions.udf.CIQ(Q29,"IQ_NI",IQ_FY)+_xll.ciqfunctions.udf.CIQ(Q29,"IQ_COMMON_DIV_CF",IQ_FY))/(_xll.ciqfunctions.udf.CIQ(Q29,"IQ_TOTAL_DEBT",IQ_FY)+_xll.ciqfunctions.udf.CIQ(Q29,"IQ_TOTAL_EQUITY",IQ_FY))</f>
        <v>6.4740351586179024E-2</v>
      </c>
      <c r="Q29" s="36" t="s">
        <v>179</v>
      </c>
    </row>
    <row r="30" spans="2:38" x14ac:dyDescent="0.2">
      <c r="B30" s="36" t="s">
        <v>155</v>
      </c>
      <c r="D30" s="120">
        <f>_xll.ciqfunctions.udf.CIQ(Q30,"IQ_SAME_STORE",IQ_CQ)/100</f>
        <v>0.02</v>
      </c>
      <c r="E30" s="38">
        <v>0</v>
      </c>
      <c r="F30" s="38">
        <f xml:space="preserve"> _xll.ciqfunctions.udf.CIQ(Q30,"IQ_EBITDA_1YR_ANN_GROWTH")/100</f>
        <v>2.0598999999999999E-2</v>
      </c>
      <c r="G30" s="38">
        <v>0</v>
      </c>
      <c r="H30" s="38">
        <f>_xll.ciqfunctions.udf.CIQ(Q30,"IQ_EBITDA_MARGIN",IQ_FY)/100</f>
        <v>0.12926500000000002</v>
      </c>
      <c r="I30" s="38">
        <v>0</v>
      </c>
      <c r="J30" s="38">
        <f>_xll.ciqfunctions.udf.CIQ(Q30,"IQ_EBIT_MARGIN",IQ_FY)/100</f>
        <v>0.108233</v>
      </c>
      <c r="K30" s="38">
        <v>0</v>
      </c>
      <c r="L30" s="157">
        <f>IFERROR(_xll.ciqfunctions.udf.CIQ(Q30,"IQ_EPS_1YR_ANN_GROWTH")/100,"NM")</f>
        <v>5.6966999999999997E-2</v>
      </c>
      <c r="M30" s="38">
        <v>0</v>
      </c>
      <c r="N30" s="38">
        <v>2.8869753557686981E-2</v>
      </c>
      <c r="O30" s="38">
        <v>0</v>
      </c>
      <c r="P30" s="38">
        <f>(_xll.ciqfunctions.udf.CIQ(Q30,"IQ_NI",IQ_FY)+_xll.ciqfunctions.udf.CIQ(Q30,"IQ_COMMON_DIV_CF",IQ_FY))/(_xll.ciqfunctions.udf.CIQ(Q30,"IQ_TOTAL_DEBT",IQ_FY)+_xll.ciqfunctions.udf.CIQ(Q30,"IQ_TOTAL_EQUITY",IQ_FY))</f>
        <v>0.28399543949356054</v>
      </c>
      <c r="Q30" s="36" t="s">
        <v>180</v>
      </c>
    </row>
    <row r="31" spans="2:38" x14ac:dyDescent="0.2">
      <c r="D31" s="43"/>
      <c r="E31" s="43"/>
      <c r="F31" s="44"/>
      <c r="G31" s="45"/>
      <c r="H31" s="51"/>
      <c r="I31" s="52"/>
      <c r="J31" s="53"/>
      <c r="K31" s="54"/>
      <c r="L31" s="53"/>
      <c r="M31" s="54"/>
      <c r="N31" s="53"/>
      <c r="O31" s="54"/>
      <c r="P31" s="50"/>
    </row>
    <row r="32" spans="2:38" x14ac:dyDescent="0.2">
      <c r="D32" s="43"/>
      <c r="E32" s="43"/>
      <c r="F32" s="44"/>
      <c r="G32" s="45"/>
      <c r="H32" s="51"/>
      <c r="I32" s="52"/>
      <c r="J32" s="53"/>
      <c r="K32" s="54"/>
      <c r="L32" s="53"/>
      <c r="M32" s="54"/>
      <c r="N32" s="53"/>
      <c r="O32" s="54"/>
      <c r="P32" s="50"/>
    </row>
    <row r="33" spans="2:17" x14ac:dyDescent="0.2">
      <c r="B33" s="128" t="s">
        <v>131</v>
      </c>
      <c r="C33" s="123"/>
      <c r="D33" s="145">
        <f>_xll.ciqfunctions.udf.CIQ(Q33,"IQ_SAME_STORE",IQ_CQ)/100</f>
        <v>-2.8999999999999998E-2</v>
      </c>
      <c r="E33" s="145">
        <v>0</v>
      </c>
      <c r="F33" s="145">
        <f xml:space="preserve"> _xll.ciqfunctions.udf.CIQ(Q33,"IQ_EBITDA_1YR_ANN_GROWTH")/100</f>
        <v>-8.8343000000000005E-2</v>
      </c>
      <c r="G33" s="145">
        <v>0</v>
      </c>
      <c r="H33" s="146">
        <f>_xll.ciqfunctions.udf.CIQ(Q33,"IQ_EBITDA_MARGIN",IQ_FY)/100</f>
        <v>0.118493</v>
      </c>
      <c r="I33" s="146">
        <v>0</v>
      </c>
      <c r="J33" s="145">
        <f>_xll.ciqfunctions.udf.CIQ(Q33,"IQ_EBIT_MARGIN",IQ_FY)/100</f>
        <v>7.0837999999999998E-2</v>
      </c>
      <c r="K33" s="145">
        <v>0</v>
      </c>
      <c r="L33" s="145">
        <f>IFERROR(_xll.ciqfunctions.udf.CIQ(Q33,"IQ_EPS_1YR_ANN_GROWTH")/100,"NM")</f>
        <v>-0.20899899999999999</v>
      </c>
      <c r="M33" s="145">
        <v>0</v>
      </c>
      <c r="N33" s="145">
        <v>2.8869753557686981E-2</v>
      </c>
      <c r="O33" s="145">
        <v>0</v>
      </c>
      <c r="P33" s="147">
        <f>(_xll.ciqfunctions.udf.CIQ(Q33,"IQ_NI",IQ_FY)+_xll.ciqfunctions.udf.CIQ(Q33,"IQ_COMMON_DIV_CF",IQ_FY))/(_xll.ciqfunctions.udf.CIQ(Q33,"IQ_TOTAL_DEBT",IQ_FY)+_xll.ciqfunctions.udf.CIQ(Q33,"IQ_TOTAL_EQUITY",IQ_FY))</f>
        <v>4.4427210281409259E-2</v>
      </c>
      <c r="Q33" s="36" t="s">
        <v>181</v>
      </c>
    </row>
    <row r="34" spans="2:17" ht="15" x14ac:dyDescent="0.25">
      <c r="I34" s="54"/>
      <c r="J34" s="57"/>
      <c r="K34" s="58"/>
      <c r="L34" s="57"/>
      <c r="M34" s="58"/>
      <c r="N34" s="57"/>
      <c r="O34" s="58"/>
      <c r="P34" s="57"/>
    </row>
    <row r="35" spans="2:17" x14ac:dyDescent="0.2">
      <c r="B35" s="59" t="s">
        <v>128</v>
      </c>
      <c r="C35" s="60"/>
      <c r="D35" s="148">
        <f>AVERAGE(D23:D30)</f>
        <v>-3.8750000000000004E-3</v>
      </c>
      <c r="E35" s="148"/>
      <c r="F35" s="148">
        <f>AVERAGE(F23:F30)</f>
        <v>-9.4505375000000003E-2</v>
      </c>
      <c r="G35" s="148"/>
      <c r="H35" s="149">
        <f>AVERAGE(H23:H30)</f>
        <v>0.11196599999999998</v>
      </c>
      <c r="K35" s="49"/>
      <c r="L35" s="48"/>
      <c r="M35" s="49"/>
      <c r="N35" s="48"/>
      <c r="O35" s="49"/>
      <c r="P35" s="50"/>
    </row>
    <row r="36" spans="2:17" x14ac:dyDescent="0.2">
      <c r="B36" s="63" t="s">
        <v>129</v>
      </c>
      <c r="C36" s="53"/>
      <c r="D36" s="150">
        <f>PERCENTILE(D23:D30,0.25)</f>
        <v>-1.7500000000000002E-2</v>
      </c>
      <c r="E36" s="150">
        <f>PERCENTILE(E23:E30,0.25)</f>
        <v>0</v>
      </c>
      <c r="F36" s="150">
        <f>PERCENTILE(F23:F30,0.25)</f>
        <v>-0.1216105</v>
      </c>
      <c r="G36" s="150">
        <f>PERCENTILE(G23:G30,0.25)</f>
        <v>0</v>
      </c>
      <c r="H36" s="151">
        <f>PERCENTILE(H23:H30,0.25)</f>
        <v>8.8041750000000002E-2</v>
      </c>
      <c r="I36" s="150">
        <f t="shared" ref="I36" si="0">PERCENTILE(I23:I30,0.75)</f>
        <v>0</v>
      </c>
      <c r="L36" s="36"/>
      <c r="N36" s="36"/>
      <c r="P36" s="36"/>
    </row>
    <row r="37" spans="2:17" x14ac:dyDescent="0.2">
      <c r="B37" s="65" t="s">
        <v>130</v>
      </c>
      <c r="C37" s="130"/>
      <c r="D37" s="152">
        <f>PERCENTILE(D23:D30,0.75)</f>
        <v>2.2499999999999999E-2</v>
      </c>
      <c r="E37" s="152">
        <f>PERCENTILE(E23:E30,0.75)</f>
        <v>0</v>
      </c>
      <c r="F37" s="152">
        <f>PERCENTILE(F23:F30,0.75)</f>
        <v>1.998925E-2</v>
      </c>
      <c r="G37" s="152">
        <f>PERCENTILE(G23:G30,0.75)</f>
        <v>0</v>
      </c>
      <c r="H37" s="153">
        <f>PERCENTILE(H23:H30,0.75)</f>
        <v>0.13528825</v>
      </c>
      <c r="O37" s="49"/>
      <c r="P37" s="53"/>
    </row>
    <row r="38" spans="2:17" x14ac:dyDescent="0.2">
      <c r="O38" s="49"/>
      <c r="P38" s="53"/>
    </row>
    <row r="39" spans="2:17" x14ac:dyDescent="0.2">
      <c r="O39" s="49"/>
      <c r="P39" s="53"/>
    </row>
    <row r="43" spans="2:17" ht="15" x14ac:dyDescent="0.25">
      <c r="B43" s="40"/>
      <c r="C43" s="40"/>
      <c r="D43" s="41" t="s">
        <v>134</v>
      </c>
      <c r="E43" s="40"/>
      <c r="F43" s="41" t="s">
        <v>135</v>
      </c>
      <c r="G43" s="40"/>
      <c r="H43" s="41" t="s">
        <v>124</v>
      </c>
      <c r="I43" s="40"/>
      <c r="J43" s="41" t="s">
        <v>125</v>
      </c>
      <c r="K43" s="40"/>
      <c r="L43" s="41" t="s">
        <v>126</v>
      </c>
      <c r="M43" s="40"/>
      <c r="N43" s="41" t="s">
        <v>127</v>
      </c>
      <c r="O43" s="40"/>
      <c r="P43" s="41" t="s">
        <v>133</v>
      </c>
    </row>
    <row r="44" spans="2:17" ht="15" x14ac:dyDescent="0.25">
      <c r="B44" s="41" t="s">
        <v>137</v>
      </c>
      <c r="C44" s="40"/>
      <c r="D44" s="40"/>
      <c r="E44" s="40"/>
      <c r="F44" s="42"/>
      <c r="G44" s="40"/>
      <c r="H44" s="42"/>
      <c r="I44" s="40"/>
      <c r="J44" s="42"/>
      <c r="K44" s="40"/>
      <c r="L44" s="42"/>
      <c r="M44" s="40"/>
      <c r="N44" s="42"/>
      <c r="O44" s="40"/>
      <c r="P44" s="42"/>
    </row>
    <row r="45" spans="2:17" x14ac:dyDescent="0.2">
      <c r="B45" s="36" t="s">
        <v>148</v>
      </c>
      <c r="D45" s="43">
        <v>14.38</v>
      </c>
      <c r="E45" s="43"/>
      <c r="F45" s="155">
        <v>0.73479816044966784</v>
      </c>
      <c r="G45" s="45"/>
      <c r="H45" s="46">
        <v>1769.4883199999999</v>
      </c>
      <c r="I45" s="47"/>
      <c r="J45" s="48">
        <v>7.4744000000000002</v>
      </c>
      <c r="K45" s="49"/>
      <c r="L45" s="48">
        <v>6.756449476716254</v>
      </c>
      <c r="M45" s="49"/>
      <c r="N45" s="48">
        <v>12.944597090612557</v>
      </c>
      <c r="O45" s="49"/>
      <c r="P45" s="50">
        <v>277.12</v>
      </c>
    </row>
    <row r="46" spans="2:17" x14ac:dyDescent="0.2">
      <c r="B46" s="36" t="s">
        <v>149</v>
      </c>
      <c r="D46" s="43">
        <v>17.73</v>
      </c>
      <c r="E46" s="43"/>
      <c r="F46" s="155">
        <v>0.56482956355527236</v>
      </c>
      <c r="G46" s="45"/>
      <c r="H46" s="46">
        <v>6662.7138800000002</v>
      </c>
      <c r="I46" s="47"/>
      <c r="J46" s="48">
        <v>8.5084900000000001</v>
      </c>
      <c r="K46" s="49"/>
      <c r="L46" s="48">
        <v>7.9032459636822372</v>
      </c>
      <c r="M46" s="49"/>
      <c r="N46" s="48">
        <v>12.03874867805059</v>
      </c>
      <c r="O46" s="49"/>
      <c r="P46" s="50" t="s">
        <v>132</v>
      </c>
    </row>
    <row r="47" spans="2:17" x14ac:dyDescent="0.2">
      <c r="B47" s="36" t="s">
        <v>150</v>
      </c>
      <c r="D47" s="43">
        <v>17.95</v>
      </c>
      <c r="E47" s="43"/>
      <c r="F47" s="155">
        <v>0.47236842105263155</v>
      </c>
      <c r="G47" s="45"/>
      <c r="H47" s="46">
        <v>4961.2293300000001</v>
      </c>
      <c r="I47" s="47"/>
      <c r="J47" s="48">
        <v>7.4124499999999998</v>
      </c>
      <c r="K47" s="49"/>
      <c r="L47" s="48">
        <v>7.2204480095191501</v>
      </c>
      <c r="M47" s="49"/>
      <c r="N47" s="48">
        <v>10.480678289679821</v>
      </c>
      <c r="O47" s="49"/>
      <c r="P47" s="50">
        <v>1056.76</v>
      </c>
    </row>
    <row r="48" spans="2:17" x14ac:dyDescent="0.2">
      <c r="B48" s="36" t="s">
        <v>151</v>
      </c>
      <c r="D48" s="43">
        <v>15.97</v>
      </c>
      <c r="E48" s="43"/>
      <c r="F48" s="155">
        <v>0.41642764015645373</v>
      </c>
      <c r="G48" s="45"/>
      <c r="H48" s="46">
        <v>4933.3708399999996</v>
      </c>
      <c r="I48" s="47"/>
      <c r="J48" s="48">
        <v>5.8515300000000003</v>
      </c>
      <c r="K48" s="49"/>
      <c r="L48" s="48">
        <v>5.6870678473831147</v>
      </c>
      <c r="M48" s="49"/>
      <c r="N48" s="48">
        <v>8.8364455675713245</v>
      </c>
      <c r="O48" s="49"/>
      <c r="P48" s="50">
        <v>202.97</v>
      </c>
    </row>
    <row r="49" spans="2:16" x14ac:dyDescent="0.2">
      <c r="B49" s="36" t="s">
        <v>152</v>
      </c>
      <c r="D49" s="43">
        <v>36.729999999999997</v>
      </c>
      <c r="E49" s="43"/>
      <c r="F49" s="155">
        <v>0.54657738095238084</v>
      </c>
      <c r="G49" s="45"/>
      <c r="H49" s="46">
        <v>5690.0210500000003</v>
      </c>
      <c r="I49" s="47"/>
      <c r="J49" s="48">
        <v>11.07727</v>
      </c>
      <c r="K49" s="49"/>
      <c r="L49" s="48">
        <v>6.3795995787511828</v>
      </c>
      <c r="M49" s="49"/>
      <c r="N49" s="48">
        <v>11.599959914043286</v>
      </c>
      <c r="O49" s="49"/>
      <c r="P49" s="50" t="s">
        <v>132</v>
      </c>
    </row>
    <row r="50" spans="2:16" x14ac:dyDescent="0.2">
      <c r="B50" s="36" t="s">
        <v>153</v>
      </c>
      <c r="D50" s="43">
        <v>112.26</v>
      </c>
      <c r="E50" s="43"/>
      <c r="F50" s="155">
        <v>0.97766165904637492</v>
      </c>
      <c r="G50" s="45"/>
      <c r="H50" s="46">
        <v>40607.856950000001</v>
      </c>
      <c r="I50" s="47"/>
      <c r="J50" s="48">
        <v>23.581060000000001</v>
      </c>
      <c r="K50" s="49"/>
      <c r="L50" s="48">
        <v>16.226425557483491</v>
      </c>
      <c r="M50" s="49"/>
      <c r="N50" s="48">
        <v>19.167662621049281</v>
      </c>
      <c r="O50" s="49"/>
      <c r="P50" s="50">
        <v>422.07</v>
      </c>
    </row>
    <row r="51" spans="2:16" x14ac:dyDescent="0.2">
      <c r="B51" s="36" t="s">
        <v>154</v>
      </c>
      <c r="D51" s="43">
        <v>110.51</v>
      </c>
      <c r="E51" s="43"/>
      <c r="F51" s="155">
        <v>0.96237916920665334</v>
      </c>
      <c r="G51" s="45"/>
      <c r="H51" s="46">
        <v>56462.71041</v>
      </c>
      <c r="I51" s="47"/>
      <c r="J51" s="48">
        <v>17.327559999999998</v>
      </c>
      <c r="K51" s="49"/>
      <c r="L51" s="48">
        <v>9.831243282815155</v>
      </c>
      <c r="M51" s="49"/>
      <c r="N51" s="48">
        <v>14.754390597011483</v>
      </c>
      <c r="O51" s="49"/>
      <c r="P51" s="50">
        <v>314.68</v>
      </c>
    </row>
    <row r="52" spans="2:16" x14ac:dyDescent="0.2">
      <c r="B52" s="36" t="s">
        <v>155</v>
      </c>
      <c r="D52" s="43">
        <v>58.83</v>
      </c>
      <c r="E52" s="43"/>
      <c r="F52" s="155">
        <v>0.96616850057480697</v>
      </c>
      <c r="G52" s="45"/>
      <c r="H52" s="46">
        <v>71121.508799999996</v>
      </c>
      <c r="I52" s="47"/>
      <c r="J52" s="48">
        <v>21.726120000000002</v>
      </c>
      <c r="K52" s="49"/>
      <c r="L52" s="48">
        <v>15.027382910924656</v>
      </c>
      <c r="M52" s="49"/>
      <c r="N52" s="48">
        <v>18.113196393492633</v>
      </c>
      <c r="O52" s="49"/>
      <c r="P52" s="50">
        <v>436.37</v>
      </c>
    </row>
    <row r="53" spans="2:16" x14ac:dyDescent="0.2">
      <c r="D53" s="43"/>
      <c r="E53" s="43"/>
      <c r="F53" s="44"/>
      <c r="G53" s="45"/>
      <c r="H53" s="51"/>
      <c r="I53" s="52"/>
      <c r="J53" s="53"/>
      <c r="K53" s="54"/>
      <c r="L53" s="53"/>
      <c r="M53" s="54"/>
      <c r="N53" s="53"/>
      <c r="O53" s="54"/>
      <c r="P53" s="50"/>
    </row>
    <row r="54" spans="2:16" x14ac:dyDescent="0.2">
      <c r="D54" s="43"/>
      <c r="E54" s="43"/>
      <c r="F54" s="44"/>
      <c r="G54" s="45"/>
      <c r="H54" s="51"/>
      <c r="I54" s="52"/>
      <c r="J54" s="53"/>
      <c r="K54" s="54"/>
      <c r="L54" s="53"/>
      <c r="M54" s="54"/>
      <c r="N54" s="53"/>
      <c r="O54" s="54"/>
      <c r="P54" s="50"/>
    </row>
    <row r="55" spans="2:16" x14ac:dyDescent="0.2">
      <c r="B55" s="128" t="s">
        <v>131</v>
      </c>
      <c r="C55" s="123"/>
      <c r="D55" s="124">
        <v>54.39</v>
      </c>
      <c r="E55" s="124"/>
      <c r="F55" s="125">
        <v>0.65309798270893371</v>
      </c>
      <c r="G55" s="125"/>
      <c r="H55" s="126">
        <v>8654.9031699999996</v>
      </c>
      <c r="I55" s="126"/>
      <c r="J55" s="127">
        <v>10.31012</v>
      </c>
      <c r="K55" s="127"/>
      <c r="L55" s="127">
        <v>6.4355922422033665</v>
      </c>
      <c r="M55" s="127"/>
      <c r="N55" s="127">
        <v>11.009900118037201</v>
      </c>
      <c r="O55" s="127"/>
      <c r="P55" s="129">
        <v>436.37</v>
      </c>
    </row>
    <row r="56" spans="2:16" x14ac:dyDescent="0.2">
      <c r="F56" s="36"/>
      <c r="H56" s="36"/>
      <c r="J56" s="48"/>
      <c r="L56" s="36"/>
      <c r="N56" s="36"/>
      <c r="P56" s="36"/>
    </row>
    <row r="57" spans="2:16" x14ac:dyDescent="0.2">
      <c r="H57" s="59" t="s">
        <v>128</v>
      </c>
      <c r="I57" s="60"/>
      <c r="J57" s="61">
        <v>12.869859999999999</v>
      </c>
      <c r="K57" s="61"/>
      <c r="L57" s="61">
        <v>9.3789828284094057</v>
      </c>
      <c r="M57" s="61"/>
      <c r="N57" s="62">
        <v>13.491959893938871</v>
      </c>
      <c r="O57" s="49"/>
      <c r="P57" s="53"/>
    </row>
    <row r="58" spans="2:16" x14ac:dyDescent="0.2">
      <c r="H58" s="63" t="s">
        <v>129</v>
      </c>
      <c r="I58" s="53"/>
      <c r="J58" s="48">
        <v>7.4589125000000003</v>
      </c>
      <c r="K58" s="48"/>
      <c r="L58" s="48">
        <v>6.6622370022249857</v>
      </c>
      <c r="M58" s="48"/>
      <c r="N58" s="64">
        <v>11.320139507952419</v>
      </c>
      <c r="O58" s="49"/>
      <c r="P58" s="53"/>
    </row>
    <row r="59" spans="2:16" x14ac:dyDescent="0.2">
      <c r="H59" s="65" t="s">
        <v>130</v>
      </c>
      <c r="I59" s="130"/>
      <c r="J59" s="67">
        <v>18.427199999999999</v>
      </c>
      <c r="K59" s="67"/>
      <c r="L59" s="67">
        <v>11.13027818984253</v>
      </c>
      <c r="M59" s="67"/>
      <c r="N59" s="68">
        <v>15.59409204613177</v>
      </c>
      <c r="O59" s="49"/>
      <c r="P59" s="53"/>
    </row>
    <row r="62" spans="2:16" ht="15" x14ac:dyDescent="0.25">
      <c r="B62" s="40"/>
      <c r="C62" s="40"/>
      <c r="D62" s="143" t="s">
        <v>183</v>
      </c>
      <c r="E62" s="144"/>
      <c r="F62" s="143" t="s">
        <v>169</v>
      </c>
      <c r="G62" s="144"/>
      <c r="H62" s="143" t="s">
        <v>168</v>
      </c>
      <c r="I62" s="144"/>
      <c r="J62" s="143" t="s">
        <v>170</v>
      </c>
      <c r="K62" s="144"/>
      <c r="L62" s="143" t="s">
        <v>171</v>
      </c>
      <c r="M62" s="144"/>
      <c r="N62" s="143" t="s">
        <v>172</v>
      </c>
      <c r="O62" s="144"/>
      <c r="P62" s="143" t="s">
        <v>173</v>
      </c>
    </row>
    <row r="63" spans="2:16" ht="15" x14ac:dyDescent="0.25">
      <c r="B63" s="41" t="s">
        <v>137</v>
      </c>
      <c r="C63" s="40"/>
      <c r="D63" s="40"/>
      <c r="E63" s="40"/>
      <c r="F63" s="42"/>
      <c r="G63" s="40"/>
      <c r="H63" s="42"/>
      <c r="I63" s="40"/>
      <c r="J63" s="42"/>
      <c r="K63" s="40"/>
      <c r="L63" s="42"/>
      <c r="M63" s="40"/>
      <c r="N63" s="42"/>
      <c r="O63" s="40"/>
      <c r="P63" s="42"/>
    </row>
    <row r="64" spans="2:16" x14ac:dyDescent="0.2">
      <c r="B64" s="36" t="s">
        <v>148</v>
      </c>
      <c r="D64" s="120">
        <v>-6.7000000000000004E-2</v>
      </c>
      <c r="E64" s="38">
        <v>0</v>
      </c>
      <c r="F64" s="38">
        <v>-0.45275799999999999</v>
      </c>
      <c r="G64" s="38">
        <v>0</v>
      </c>
      <c r="H64" s="38">
        <v>6.3314000000000009E-2</v>
      </c>
      <c r="I64" s="38">
        <v>0</v>
      </c>
      <c r="J64" s="38">
        <v>3.5146000000000004E-2</v>
      </c>
      <c r="K64" s="38">
        <v>0</v>
      </c>
      <c r="L64" s="157" t="s">
        <v>132</v>
      </c>
      <c r="M64" s="38">
        <v>0</v>
      </c>
      <c r="N64" s="38">
        <v>2.7048922681129291E-2</v>
      </c>
      <c r="O64" s="38">
        <v>0</v>
      </c>
      <c r="P64" s="38">
        <v>-5.3858526517693517E-2</v>
      </c>
    </row>
    <row r="65" spans="2:16" x14ac:dyDescent="0.2">
      <c r="B65" s="36" t="s">
        <v>149</v>
      </c>
      <c r="D65" s="120">
        <v>-0.04</v>
      </c>
      <c r="E65" s="38">
        <v>0</v>
      </c>
      <c r="F65" s="38">
        <v>2.4729000000000001E-2</v>
      </c>
      <c r="G65" s="38">
        <v>0</v>
      </c>
      <c r="H65" s="38">
        <v>0.11773199999999999</v>
      </c>
      <c r="I65" s="38">
        <v>0</v>
      </c>
      <c r="J65" s="38">
        <v>8.2870000000000013E-2</v>
      </c>
      <c r="K65" s="38">
        <v>0</v>
      </c>
      <c r="L65" s="157">
        <v>7.6413000000000009E-2</v>
      </c>
      <c r="M65" s="38">
        <v>0</v>
      </c>
      <c r="N65" s="38">
        <v>-4.2521109770808203E-2</v>
      </c>
      <c r="O65" s="38">
        <v>0</v>
      </c>
      <c r="P65" s="38">
        <v>0.13119533527696792</v>
      </c>
    </row>
    <row r="66" spans="2:16" x14ac:dyDescent="0.2">
      <c r="B66" s="36" t="s">
        <v>150</v>
      </c>
      <c r="D66" s="120">
        <v>-0.01</v>
      </c>
      <c r="E66" s="38">
        <v>0</v>
      </c>
      <c r="F66" s="38">
        <v>-9.6980999999999998E-2</v>
      </c>
      <c r="G66" s="38">
        <v>0</v>
      </c>
      <c r="H66" s="38">
        <v>0.15335799999999999</v>
      </c>
      <c r="I66" s="38">
        <v>0</v>
      </c>
      <c r="J66" s="38">
        <v>0.10878500000000001</v>
      </c>
      <c r="K66" s="38">
        <v>0</v>
      </c>
      <c r="L66" s="157">
        <v>-0.34374899999999997</v>
      </c>
      <c r="M66" s="38">
        <v>0</v>
      </c>
      <c r="N66" s="38">
        <v>4.7518319860995695E-2</v>
      </c>
      <c r="O66" s="38">
        <v>0</v>
      </c>
      <c r="P66" s="38">
        <v>-4.4238890006032573E-3</v>
      </c>
    </row>
    <row r="67" spans="2:16" x14ac:dyDescent="0.2">
      <c r="B67" s="36" t="s">
        <v>151</v>
      </c>
      <c r="D67" s="120">
        <v>2E-3</v>
      </c>
      <c r="E67" s="38">
        <v>0</v>
      </c>
      <c r="F67" s="38">
        <v>-0.151888</v>
      </c>
      <c r="G67" s="38">
        <v>0</v>
      </c>
      <c r="H67" s="38">
        <v>8.5394999999999999E-2</v>
      </c>
      <c r="I67" s="38">
        <v>0</v>
      </c>
      <c r="J67" s="38">
        <v>5.9519999999999997E-2</v>
      </c>
      <c r="K67" s="38">
        <v>0</v>
      </c>
      <c r="L67" s="157">
        <v>-0.39524099999999995</v>
      </c>
      <c r="M67" s="38">
        <v>0</v>
      </c>
      <c r="N67" s="38">
        <v>2.5525467189867521E-2</v>
      </c>
      <c r="O67" s="38">
        <v>0</v>
      </c>
      <c r="P67" s="38">
        <v>5.6743204011612564E-2</v>
      </c>
    </row>
    <row r="68" spans="2:16" x14ac:dyDescent="0.2">
      <c r="B68" s="36" t="s">
        <v>152</v>
      </c>
      <c r="D68" s="120">
        <v>0</v>
      </c>
      <c r="E68" s="38">
        <v>0</v>
      </c>
      <c r="F68" s="38">
        <v>-0.11151799999999999</v>
      </c>
      <c r="G68" s="38">
        <v>0</v>
      </c>
      <c r="H68" s="38">
        <v>9.9495E-2</v>
      </c>
      <c r="I68" s="38">
        <v>0</v>
      </c>
      <c r="J68" s="38">
        <v>5.7313000000000003E-2</v>
      </c>
      <c r="K68" s="38">
        <v>0</v>
      </c>
      <c r="L68" s="157">
        <v>6.5899999999999997E-4</v>
      </c>
      <c r="M68" s="38">
        <v>0</v>
      </c>
      <c r="N68" s="38">
        <v>4.1235813366960909E-2</v>
      </c>
      <c r="O68" s="38">
        <v>0</v>
      </c>
      <c r="P68" s="38">
        <v>8.825182686902755E-2</v>
      </c>
    </row>
    <row r="69" spans="2:16" x14ac:dyDescent="0.2">
      <c r="B69" s="36" t="s">
        <v>153</v>
      </c>
      <c r="D69" s="120">
        <v>0.03</v>
      </c>
      <c r="E69" s="38">
        <v>0</v>
      </c>
      <c r="F69" s="38">
        <v>-8.012E-3</v>
      </c>
      <c r="G69" s="38">
        <v>0</v>
      </c>
      <c r="H69" s="38">
        <v>0.158245</v>
      </c>
      <c r="I69" s="38">
        <v>0</v>
      </c>
      <c r="J69" s="38">
        <v>0.13619700000000001</v>
      </c>
      <c r="K69" s="38">
        <v>0</v>
      </c>
      <c r="L69" s="157">
        <v>8.3154000000000006E-2</v>
      </c>
      <c r="M69" s="38">
        <v>0</v>
      </c>
      <c r="N69" s="38">
        <v>2.7623510357131204E-2</v>
      </c>
      <c r="O69" s="38">
        <v>0</v>
      </c>
      <c r="P69" s="38">
        <v>0.34555105790581248</v>
      </c>
    </row>
    <row r="70" spans="2:16" x14ac:dyDescent="0.2">
      <c r="B70" s="36" t="s">
        <v>154</v>
      </c>
      <c r="D70" s="120">
        <v>3.4000000000000002E-2</v>
      </c>
      <c r="E70" s="38">
        <v>0</v>
      </c>
      <c r="F70" s="38">
        <v>1.9785999999999998E-2</v>
      </c>
      <c r="G70" s="38">
        <v>0</v>
      </c>
      <c r="H70" s="38">
        <v>8.8924000000000003E-2</v>
      </c>
      <c r="I70" s="38">
        <v>0</v>
      </c>
      <c r="J70" s="38">
        <v>5.6093000000000004E-2</v>
      </c>
      <c r="K70" s="38">
        <v>0</v>
      </c>
      <c r="L70" s="157">
        <v>6.1615000000000003E-2</v>
      </c>
      <c r="M70" s="38">
        <v>0</v>
      </c>
      <c r="N70" s="38">
        <v>4.665852752269229E-2</v>
      </c>
      <c r="O70" s="38">
        <v>0</v>
      </c>
      <c r="P70" s="38">
        <v>6.4740351586179024E-2</v>
      </c>
    </row>
    <row r="71" spans="2:16" x14ac:dyDescent="0.2">
      <c r="B71" s="36" t="s">
        <v>155</v>
      </c>
      <c r="D71" s="120">
        <v>0.02</v>
      </c>
      <c r="E71" s="38">
        <v>0</v>
      </c>
      <c r="F71" s="38">
        <v>2.0598999999999999E-2</v>
      </c>
      <c r="G71" s="38">
        <v>0</v>
      </c>
      <c r="H71" s="38">
        <v>0.12926500000000002</v>
      </c>
      <c r="I71" s="38">
        <v>0</v>
      </c>
      <c r="J71" s="38">
        <v>0.108233</v>
      </c>
      <c r="K71" s="38">
        <v>0</v>
      </c>
      <c r="L71" s="157">
        <v>5.6966999999999997E-2</v>
      </c>
      <c r="M71" s="38">
        <v>0</v>
      </c>
      <c r="N71" s="38">
        <v>2.8869753557686981E-2</v>
      </c>
      <c r="O71" s="38">
        <v>0</v>
      </c>
      <c r="P71" s="38">
        <v>0.28399543949356054</v>
      </c>
    </row>
    <row r="72" spans="2:16" x14ac:dyDescent="0.2">
      <c r="D72" s="43"/>
      <c r="E72" s="43"/>
      <c r="F72" s="44"/>
      <c r="G72" s="45"/>
      <c r="H72" s="51"/>
      <c r="I72" s="52"/>
      <c r="J72" s="53"/>
      <c r="K72" s="54"/>
      <c r="L72" s="53"/>
      <c r="M72" s="54"/>
      <c r="N72" s="53"/>
      <c r="O72" s="54"/>
      <c r="P72" s="50"/>
    </row>
    <row r="73" spans="2:16" x14ac:dyDescent="0.2">
      <c r="D73" s="43"/>
      <c r="E73" s="43"/>
      <c r="F73" s="44"/>
      <c r="G73" s="45"/>
      <c r="H73" s="51"/>
      <c r="I73" s="52"/>
      <c r="J73" s="53"/>
      <c r="K73" s="54"/>
      <c r="L73" s="53"/>
      <c r="M73" s="54"/>
      <c r="N73" s="53"/>
      <c r="O73" s="54"/>
      <c r="P73" s="50"/>
    </row>
    <row r="74" spans="2:16" x14ac:dyDescent="0.2">
      <c r="B74" s="128" t="s">
        <v>131</v>
      </c>
      <c r="C74" s="123"/>
      <c r="D74" s="145">
        <v>-2.8999999999999998E-2</v>
      </c>
      <c r="E74" s="145">
        <v>0</v>
      </c>
      <c r="F74" s="145">
        <v>-8.8343000000000005E-2</v>
      </c>
      <c r="G74" s="145">
        <v>0</v>
      </c>
      <c r="H74" s="146">
        <v>0.118493</v>
      </c>
      <c r="I74" s="146">
        <v>0</v>
      </c>
      <c r="J74" s="145">
        <v>7.0837999999999998E-2</v>
      </c>
      <c r="K74" s="145">
        <v>0</v>
      </c>
      <c r="L74" s="145">
        <v>-0.20899899999999999</v>
      </c>
      <c r="M74" s="145">
        <v>0</v>
      </c>
      <c r="N74" s="145">
        <v>2.8869753557686981E-2</v>
      </c>
      <c r="O74" s="145">
        <v>0</v>
      </c>
      <c r="P74" s="147">
        <v>4.4427210281409259E-2</v>
      </c>
    </row>
    <row r="75" spans="2:16" ht="15" x14ac:dyDescent="0.25">
      <c r="I75" s="54"/>
      <c r="J75" s="57"/>
      <c r="K75" s="58"/>
      <c r="L75" s="57"/>
      <c r="M75" s="58"/>
      <c r="N75" s="57"/>
      <c r="O75" s="58"/>
      <c r="P75" s="57"/>
    </row>
    <row r="76" spans="2:16" x14ac:dyDescent="0.2">
      <c r="B76" s="59" t="s">
        <v>128</v>
      </c>
      <c r="C76" s="60"/>
      <c r="D76" s="148">
        <v>-3.8750000000000004E-3</v>
      </c>
      <c r="E76" s="148"/>
      <c r="F76" s="148">
        <v>-9.4505375000000003E-2</v>
      </c>
      <c r="G76" s="148"/>
      <c r="H76" s="149">
        <v>0.11196599999999998</v>
      </c>
      <c r="K76" s="49"/>
      <c r="L76" s="48"/>
      <c r="M76" s="49"/>
      <c r="N76" s="48"/>
      <c r="O76" s="49"/>
      <c r="P76" s="50"/>
    </row>
    <row r="77" spans="2:16" x14ac:dyDescent="0.2">
      <c r="B77" s="63" t="s">
        <v>129</v>
      </c>
      <c r="C77" s="53"/>
      <c r="D77" s="150">
        <v>-1.7500000000000002E-2</v>
      </c>
      <c r="E77" s="150">
        <v>0</v>
      </c>
      <c r="F77" s="150">
        <v>-0.1216105</v>
      </c>
      <c r="G77" s="150">
        <v>0</v>
      </c>
      <c r="H77" s="151">
        <v>8.8041750000000002E-2</v>
      </c>
      <c r="I77" s="150">
        <v>0</v>
      </c>
      <c r="L77" s="36"/>
      <c r="N77" s="36"/>
      <c r="P77" s="36"/>
    </row>
    <row r="78" spans="2:16" x14ac:dyDescent="0.2">
      <c r="B78" s="65" t="s">
        <v>130</v>
      </c>
      <c r="C78" s="130"/>
      <c r="D78" s="152">
        <v>2.2499999999999999E-2</v>
      </c>
      <c r="E78" s="152">
        <v>0</v>
      </c>
      <c r="F78" s="152">
        <v>1.998925E-2</v>
      </c>
      <c r="G78" s="152">
        <v>0</v>
      </c>
      <c r="H78" s="153">
        <v>0.13528825</v>
      </c>
      <c r="O78" s="49"/>
      <c r="P78" s="53"/>
    </row>
    <row r="79" spans="2:16" x14ac:dyDescent="0.2">
      <c r="O79" s="49"/>
      <c r="P79" s="53"/>
    </row>
  </sheetData>
  <sortState ref="B4:P11">
    <sortCondition ref="B2"/>
  </sortState>
  <pageMargins left="0.7" right="0.7" top="0.75" bottom="0.75" header="0.3" footer="0.3"/>
  <pageSetup scale="46" orientation="portrait" r:id="rId1"/>
  <colBreaks count="1" manualBreakCount="1">
    <brk id="17" max="1048575" man="1"/>
  </colBreaks>
  <customProperties>
    <customPr name="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379C-DAD9-4FBA-A7C4-0309B419641D}">
  <dimension ref="B2:M23"/>
  <sheetViews>
    <sheetView showGridLines="0" zoomScale="86" zoomScaleNormal="86" workbookViewId="0">
      <selection activeCell="J20" sqref="J20"/>
    </sheetView>
  </sheetViews>
  <sheetFormatPr defaultRowHeight="15" x14ac:dyDescent="0.25"/>
  <cols>
    <col min="1" max="1" width="2" bestFit="1" customWidth="1"/>
    <col min="2" max="2" width="12.140625" customWidth="1"/>
    <col min="3" max="3" width="8.140625" customWidth="1"/>
    <col min="4" max="4" width="8.7109375" bestFit="1" customWidth="1"/>
    <col min="5" max="5" width="7.7109375" customWidth="1"/>
    <col min="6" max="6" width="8" bestFit="1" customWidth="1"/>
    <col min="7" max="7" width="7.5703125" bestFit="1" customWidth="1"/>
    <col min="10" max="10" width="13.140625" bestFit="1" customWidth="1"/>
    <col min="19" max="19" width="13.85546875" customWidth="1"/>
    <col min="22" max="22" width="16.28515625" customWidth="1"/>
  </cols>
  <sheetData>
    <row r="2" spans="2:11" x14ac:dyDescent="0.25">
      <c r="B2" s="131"/>
      <c r="C2" s="165" t="s">
        <v>123</v>
      </c>
      <c r="D2" s="165"/>
      <c r="E2" s="165"/>
      <c r="F2" s="165"/>
      <c r="G2" s="165"/>
      <c r="H2" s="17"/>
      <c r="I2" s="17"/>
      <c r="J2" s="167" t="s">
        <v>186</v>
      </c>
      <c r="K2" s="168">
        <v>6.5000000000000002E-2</v>
      </c>
    </row>
    <row r="3" spans="2:11" x14ac:dyDescent="0.25">
      <c r="B3" s="159">
        <v>0.34968595087037335</v>
      </c>
      <c r="C3" s="161">
        <v>-0.01</v>
      </c>
      <c r="D3" s="161">
        <v>-5.0000000000000001E-3</v>
      </c>
      <c r="E3" s="161">
        <v>0</v>
      </c>
      <c r="F3" s="161">
        <v>5.0000000000000001E-3</v>
      </c>
      <c r="G3" s="161">
        <v>0.01</v>
      </c>
      <c r="H3" s="17"/>
      <c r="I3" s="17"/>
      <c r="J3" s="167" t="s">
        <v>187</v>
      </c>
      <c r="K3" s="169">
        <v>0</v>
      </c>
    </row>
    <row r="4" spans="2:11" x14ac:dyDescent="0.25">
      <c r="B4" s="135" t="s">
        <v>71</v>
      </c>
      <c r="C4" s="164">
        <v>0.29569861695360844</v>
      </c>
      <c r="D4" s="164">
        <v>0.39733437839573638</v>
      </c>
      <c r="E4" s="164">
        <v>0.51460641082896119</v>
      </c>
      <c r="F4" s="164">
        <v>0.65142378200105688</v>
      </c>
      <c r="G4" s="164">
        <v>0.81311703884080644</v>
      </c>
      <c r="H4" s="17"/>
      <c r="I4" s="17"/>
      <c r="J4" s="167" t="s">
        <v>188</v>
      </c>
      <c r="K4" s="168">
        <f ca="1">DCF!F39</f>
        <v>0.13838020854422139</v>
      </c>
    </row>
    <row r="5" spans="2:11" x14ac:dyDescent="0.25">
      <c r="B5" s="135" t="s">
        <v>69</v>
      </c>
      <c r="C5" s="164">
        <v>-5.7117789302426836E-2</v>
      </c>
      <c r="D5" s="164">
        <v>2.2790088231515959E-2</v>
      </c>
      <c r="E5" s="164">
        <v>0.11499148538606541</v>
      </c>
      <c r="F5" s="164">
        <v>0.22255978206637317</v>
      </c>
      <c r="G5" s="164">
        <v>0.34968595087037335</v>
      </c>
      <c r="H5" s="17"/>
      <c r="I5" s="17"/>
      <c r="J5" s="167" t="s">
        <v>189</v>
      </c>
      <c r="K5" s="170" t="s">
        <v>69</v>
      </c>
    </row>
    <row r="6" spans="2:11" x14ac:dyDescent="0.25">
      <c r="B6" s="135" t="s">
        <v>121</v>
      </c>
      <c r="C6" s="164">
        <v>-0.12902765319208986</v>
      </c>
      <c r="D6" s="164">
        <v>-5.3342581057116201E-2</v>
      </c>
      <c r="E6" s="164">
        <v>3.3986348329392513E-2</v>
      </c>
      <c r="F6" s="164">
        <v>0.13587009928031857</v>
      </c>
      <c r="G6" s="164">
        <v>0.25627816858595964</v>
      </c>
      <c r="H6" s="17"/>
      <c r="I6" s="17"/>
      <c r="J6" s="167" t="s">
        <v>190</v>
      </c>
      <c r="K6" s="171">
        <v>7.5</v>
      </c>
    </row>
    <row r="7" spans="2:11" x14ac:dyDescent="0.25">
      <c r="B7" s="135" t="s">
        <v>70</v>
      </c>
      <c r="C7" s="164">
        <v>-0.57046313222683231</v>
      </c>
      <c r="D7" s="164">
        <v>-0.52016989155641191</v>
      </c>
      <c r="E7" s="164">
        <v>-0.46213922924438822</v>
      </c>
      <c r="F7" s="164">
        <v>-0.39443678988036046</v>
      </c>
      <c r="G7" s="164">
        <v>-0.31442481608650952</v>
      </c>
      <c r="H7" s="17"/>
      <c r="I7" s="17"/>
      <c r="J7" s="167" t="s">
        <v>191</v>
      </c>
      <c r="K7" s="172">
        <f ca="1">DCF!M39</f>
        <v>0.19457038295342466</v>
      </c>
    </row>
    <row r="8" spans="2:11" x14ac:dyDescent="0.25">
      <c r="B8" s="131"/>
      <c r="C8" s="160"/>
      <c r="D8" s="160"/>
      <c r="E8" s="160"/>
      <c r="F8" s="160"/>
      <c r="G8" s="160"/>
      <c r="H8" s="17"/>
      <c r="I8" s="17"/>
    </row>
    <row r="9" spans="2:11" x14ac:dyDescent="0.25">
      <c r="B9" s="131"/>
      <c r="C9" s="165" t="s">
        <v>122</v>
      </c>
      <c r="D9" s="165"/>
      <c r="E9" s="165"/>
      <c r="F9" s="165"/>
      <c r="G9" s="165"/>
      <c r="H9" s="17"/>
      <c r="I9" s="17"/>
    </row>
    <row r="10" spans="2:11" x14ac:dyDescent="0.25">
      <c r="B10" s="159">
        <v>0.10894266960705234</v>
      </c>
      <c r="C10" s="162">
        <v>0.06</v>
      </c>
      <c r="D10" s="162">
        <v>6.25E-2</v>
      </c>
      <c r="E10" s="162">
        <v>6.5000000000000002E-2</v>
      </c>
      <c r="F10" s="162">
        <v>6.7500000000000004E-2</v>
      </c>
      <c r="G10" s="162">
        <v>7.0000000000000007E-2</v>
      </c>
      <c r="H10" s="17"/>
      <c r="I10" s="17"/>
    </row>
    <row r="11" spans="2:11" x14ac:dyDescent="0.25">
      <c r="B11" s="135" t="s">
        <v>71</v>
      </c>
      <c r="C11" s="164">
        <v>0.67304360700207844</v>
      </c>
      <c r="D11" s="164">
        <v>0.57686817114951028</v>
      </c>
      <c r="E11" s="164">
        <v>0.48809309787070276</v>
      </c>
      <c r="F11" s="164">
        <v>0.40589659737124562</v>
      </c>
      <c r="G11" s="164">
        <v>0.32957426256550781</v>
      </c>
      <c r="H11" s="17"/>
      <c r="I11" s="17"/>
      <c r="J11" s="17"/>
      <c r="K11" s="17"/>
    </row>
    <row r="12" spans="2:11" x14ac:dyDescent="0.25">
      <c r="B12" s="135" t="s">
        <v>69</v>
      </c>
      <c r="C12" s="164">
        <v>0.25642410132831128</v>
      </c>
      <c r="D12" s="164">
        <v>0.17974572003252565</v>
      </c>
      <c r="E12" s="164">
        <v>0.10894266960705234</v>
      </c>
      <c r="F12" s="164">
        <v>4.3362857867032867E-2</v>
      </c>
      <c r="G12" s="164">
        <v>-1.7552669520535136E-2</v>
      </c>
      <c r="H12" s="17"/>
      <c r="I12" s="17"/>
      <c r="J12" s="17"/>
      <c r="K12" s="17"/>
    </row>
    <row r="13" spans="2:11" x14ac:dyDescent="0.25">
      <c r="B13" s="135" t="s">
        <v>121</v>
      </c>
      <c r="C13" s="164">
        <v>0.16806922653013179</v>
      </c>
      <c r="D13" s="164">
        <v>9.5380515881628991E-2</v>
      </c>
      <c r="E13" s="164">
        <v>2.8257187792356531E-2</v>
      </c>
      <c r="F13" s="164">
        <v>-3.3918395676767021E-2</v>
      </c>
      <c r="G13" s="164">
        <v>-9.1675656481493895E-2</v>
      </c>
      <c r="H13" s="17"/>
      <c r="I13" s="17"/>
      <c r="J13" s="17"/>
      <c r="K13" s="17"/>
    </row>
    <row r="14" spans="2:11" x14ac:dyDescent="0.25">
      <c r="B14" s="135" t="s">
        <v>70</v>
      </c>
      <c r="C14" s="164">
        <v>-0.37235617159073442</v>
      </c>
      <c r="D14" s="164">
        <v>-0.42100186641606696</v>
      </c>
      <c r="E14" s="164">
        <v>-0.46594629504482477</v>
      </c>
      <c r="F14" s="164">
        <v>-0.50759991790786096</v>
      </c>
      <c r="G14" s="164">
        <v>-0.5463145747956788</v>
      </c>
      <c r="H14" s="17"/>
      <c r="I14" s="17"/>
      <c r="J14" s="17"/>
      <c r="K14" s="17"/>
    </row>
    <row r="15" spans="2:11" x14ac:dyDescent="0.25">
      <c r="B15" s="131"/>
      <c r="C15" s="160"/>
      <c r="D15" s="160"/>
      <c r="E15" s="160"/>
      <c r="F15" s="160"/>
      <c r="G15" s="160"/>
      <c r="H15" s="17"/>
      <c r="I15" s="17"/>
      <c r="J15" s="17"/>
      <c r="K15" s="17"/>
    </row>
    <row r="16" spans="2:11" x14ac:dyDescent="0.25">
      <c r="B16" s="131"/>
      <c r="C16" s="165" t="s">
        <v>138</v>
      </c>
      <c r="D16" s="165"/>
      <c r="E16" s="165"/>
      <c r="F16" s="165"/>
      <c r="G16" s="165"/>
      <c r="H16" s="17"/>
      <c r="I16" s="17"/>
      <c r="J16" s="17"/>
    </row>
    <row r="17" spans="2:13" x14ac:dyDescent="0.25">
      <c r="B17" s="159">
        <v>0.25503902617329666</v>
      </c>
      <c r="C17" s="163">
        <v>6</v>
      </c>
      <c r="D17" s="163">
        <v>6.5</v>
      </c>
      <c r="E17" s="163">
        <v>7</v>
      </c>
      <c r="F17" s="163">
        <v>7.5</v>
      </c>
      <c r="G17" s="163">
        <v>8</v>
      </c>
      <c r="H17" s="17"/>
      <c r="I17" s="17"/>
      <c r="J17" s="17"/>
      <c r="K17" s="17"/>
    </row>
    <row r="18" spans="2:13" x14ac:dyDescent="0.25">
      <c r="B18" s="135" t="s">
        <v>71</v>
      </c>
      <c r="C18" s="164">
        <v>0.12562256316827214</v>
      </c>
      <c r="D18" s="164">
        <v>0.23098791978789435</v>
      </c>
      <c r="E18" s="164">
        <v>0.33635327640751633</v>
      </c>
      <c r="F18" s="164">
        <v>0.44171863302713787</v>
      </c>
      <c r="G18" s="164">
        <v>0.54708398964675986</v>
      </c>
      <c r="H18" s="17"/>
      <c r="I18" s="17"/>
      <c r="J18" s="17"/>
      <c r="K18" s="17"/>
      <c r="L18" s="17"/>
      <c r="M18" s="17"/>
    </row>
    <row r="19" spans="2:13" x14ac:dyDescent="0.25">
      <c r="B19" s="135" t="s">
        <v>69</v>
      </c>
      <c r="C19" s="164">
        <v>-0.10458570245486765</v>
      </c>
      <c r="D19" s="164">
        <v>-1.4679520297826598E-2</v>
      </c>
      <c r="E19" s="164">
        <v>7.5226661859214561E-2</v>
      </c>
      <c r="F19" s="164">
        <v>0.16513284401625539</v>
      </c>
      <c r="G19" s="164">
        <v>0.25503902617329666</v>
      </c>
    </row>
    <row r="20" spans="2:13" x14ac:dyDescent="0.25">
      <c r="B20" s="135" t="s">
        <v>121</v>
      </c>
      <c r="C20" s="164">
        <v>-0.17212515368911652</v>
      </c>
      <c r="D20" s="164">
        <v>-8.6781376776254637E-2</v>
      </c>
      <c r="E20" s="164">
        <v>-1.4375998633930909E-3</v>
      </c>
      <c r="F20" s="164">
        <v>8.39061770494689E-2</v>
      </c>
      <c r="G20" s="164">
        <v>0.16924995396233089</v>
      </c>
    </row>
    <row r="21" spans="2:13" x14ac:dyDescent="0.25">
      <c r="B21" s="135" t="s">
        <v>70</v>
      </c>
      <c r="C21" s="164">
        <v>-0.48416242965126532</v>
      </c>
      <c r="D21" s="164">
        <v>-0.41765927252433332</v>
      </c>
      <c r="E21" s="164">
        <v>-0.35115611539740088</v>
      </c>
      <c r="F21" s="164">
        <v>-0.28465295827046855</v>
      </c>
      <c r="G21" s="164">
        <v>-0.21814980114353644</v>
      </c>
    </row>
    <row r="23" spans="2:13" x14ac:dyDescent="0.25">
      <c r="G23" s="154"/>
    </row>
  </sheetData>
  <mergeCells count="3">
    <mergeCell ref="C2:G2"/>
    <mergeCell ref="C9:G9"/>
    <mergeCell ref="C16:G16"/>
  </mergeCells>
  <conditionalFormatting sqref="C4:G7 C11:G14 C18:G21">
    <cfRule type="cellIs" dxfId="0" priority="1" operator="greaterThan">
      <formula>0.175</formula>
    </cfRule>
  </conditionalFormatting>
  <pageMargins left="0.7" right="0.7" top="0.75" bottom="0.75" header="0.3" footer="0.3"/>
  <pageSetup orientation="portrait" r:id="rId1"/>
  <rowBreaks count="2" manualBreakCount="2">
    <brk id="8" max="16383" man="1"/>
    <brk id="15" max="16383" man="1"/>
  </rowBreaks>
  <colBreaks count="1" manualBreakCount="1">
    <brk id="1" max="1048575" man="1"/>
  </colBreaks>
  <customProperties>
    <customPr name="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0758-8CA6-4822-84FF-F7DAE7A2BE5E}">
  <sheetPr>
    <tabColor rgb="FF002060"/>
    <pageSetUpPr fitToPage="1"/>
  </sheetPr>
  <dimension ref="B2:H9"/>
  <sheetViews>
    <sheetView showGridLines="0" view="pageBreakPreview" zoomScaleNormal="100" zoomScaleSheetLayoutView="100" workbookViewId="0">
      <selection activeCell="G6" sqref="G6"/>
    </sheetView>
  </sheetViews>
  <sheetFormatPr defaultRowHeight="15" x14ac:dyDescent="0.25"/>
  <cols>
    <col min="2" max="2" width="28" customWidth="1"/>
    <col min="3" max="3" width="17.28515625" customWidth="1"/>
    <col min="4" max="4" width="26.7109375" bestFit="1" customWidth="1"/>
    <col min="5" max="5" width="16.28515625" style="18" bestFit="1" customWidth="1"/>
    <col min="6" max="6" width="14" style="18" bestFit="1" customWidth="1"/>
    <col min="7" max="7" width="9.7109375" style="18" bestFit="1" customWidth="1"/>
    <col min="8" max="8" width="9.140625" style="18"/>
  </cols>
  <sheetData>
    <row r="2" spans="2:8" x14ac:dyDescent="0.25">
      <c r="C2" s="18"/>
      <c r="D2" s="18"/>
      <c r="G2"/>
      <c r="H2"/>
    </row>
    <row r="3" spans="2:8" x14ac:dyDescent="0.25">
      <c r="C3" s="18" t="s">
        <v>139</v>
      </c>
      <c r="D3" s="18" t="s">
        <v>140</v>
      </c>
      <c r="E3" s="18" t="s">
        <v>141</v>
      </c>
      <c r="F3" s="18" t="s">
        <v>142</v>
      </c>
      <c r="G3"/>
      <c r="H3"/>
    </row>
    <row r="4" spans="2:8" x14ac:dyDescent="0.25">
      <c r="B4" t="s">
        <v>143</v>
      </c>
      <c r="C4" s="18">
        <v>6</v>
      </c>
      <c r="D4" s="18">
        <v>9</v>
      </c>
      <c r="E4" s="19">
        <v>40.619999999999997</v>
      </c>
      <c r="F4" s="19">
        <f ca="1">(9*(DCF!I8+DCF!I12)-5490)/162</f>
        <v>79.174102236426634</v>
      </c>
      <c r="G4" s="216">
        <f>_xll.ciqfunctions.udf.CIQ("KSS","IQ_PRICEDATE")</f>
        <v>43776</v>
      </c>
      <c r="H4"/>
    </row>
    <row r="5" spans="2:8" x14ac:dyDescent="0.25">
      <c r="B5" t="s">
        <v>144</v>
      </c>
      <c r="C5" s="18"/>
      <c r="D5" s="18"/>
      <c r="E5" s="19">
        <v>43.33</v>
      </c>
      <c r="F5" s="19">
        <v>83.28</v>
      </c>
      <c r="G5" s="217">
        <f>_xll.ciqfunctions.udf.CIQ("KSS","IQ_LASTSALEPRICE")</f>
        <v>57.029299999999999</v>
      </c>
      <c r="H5"/>
    </row>
    <row r="6" spans="2:8" x14ac:dyDescent="0.25">
      <c r="B6" t="s">
        <v>145</v>
      </c>
      <c r="C6" s="18"/>
      <c r="D6" s="18"/>
      <c r="E6" s="19">
        <f>0.88*40</f>
        <v>35.200000000000003</v>
      </c>
      <c r="F6" s="19">
        <f>95*0.88</f>
        <v>83.6</v>
      </c>
      <c r="G6"/>
      <c r="H6"/>
    </row>
    <row r="7" spans="2:8" x14ac:dyDescent="0.25">
      <c r="B7" t="s">
        <v>146</v>
      </c>
      <c r="C7" s="18" t="s">
        <v>184</v>
      </c>
      <c r="D7" s="18" t="s">
        <v>185</v>
      </c>
      <c r="E7" s="19">
        <v>52.27</v>
      </c>
      <c r="F7" s="19">
        <v>75.239999999999995</v>
      </c>
      <c r="G7"/>
      <c r="H7"/>
    </row>
    <row r="8" spans="2:8" x14ac:dyDescent="0.25">
      <c r="B8" t="s">
        <v>147</v>
      </c>
      <c r="C8" s="18">
        <v>8</v>
      </c>
      <c r="D8" s="18">
        <v>13</v>
      </c>
      <c r="E8" s="19">
        <v>49.92</v>
      </c>
      <c r="F8" s="19">
        <f>6.24*13</f>
        <v>81.12</v>
      </c>
      <c r="G8"/>
      <c r="H8"/>
    </row>
    <row r="9" spans="2:8" x14ac:dyDescent="0.25">
      <c r="E9" s="121"/>
    </row>
  </sheetData>
  <pageMargins left="0.7" right="0.7" top="0.75" bottom="0.75" header="0.3" footer="0.3"/>
  <pageSetup scale="74" orientation="portrait" r:id="rId1"/>
  <customProperties>
    <customPr name="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Assumptions</vt:lpstr>
      <vt:lpstr>Model</vt:lpstr>
      <vt:lpstr>DCF</vt:lpstr>
      <vt:lpstr>Peers</vt:lpstr>
      <vt:lpstr>Sensitivity</vt:lpstr>
      <vt:lpstr>Valuation Range</vt:lpstr>
      <vt:lpstr>Assumptions!Print_Area</vt:lpstr>
      <vt:lpstr>DCF!Print_Area</vt:lpstr>
      <vt:lpstr>Model!Print_Area</vt:lpstr>
      <vt:lpstr>Peers!Print_Area</vt:lpstr>
      <vt:lpstr>Sensitivity!Print_Area</vt:lpstr>
      <vt:lpstr>'Valuation Range'!Print_Area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Gutzmer</dc:creator>
  <cp:lastModifiedBy>Colin Gutzmer</cp:lastModifiedBy>
  <cp:lastPrinted>2019-07-30T15:11:56Z</cp:lastPrinted>
  <dcterms:created xsi:type="dcterms:W3CDTF">2017-06-12T14:17:04Z</dcterms:created>
  <dcterms:modified xsi:type="dcterms:W3CDTF">2019-11-07T18:54:01Z</dcterms:modified>
</cp:coreProperties>
</file>