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tlawrenc\Downloads\"/>
    </mc:Choice>
  </mc:AlternateContent>
  <xr:revisionPtr revIDLastSave="0" documentId="8_{91C5FA2E-696C-49D8-BEF4-C3E8901FD141}" xr6:coauthVersionLast="47" xr6:coauthVersionMax="47" xr10:uidLastSave="{00000000-0000-0000-0000-000000000000}"/>
  <bookViews>
    <workbookView xWindow="29415" yWindow="1770" windowWidth="21600" windowHeight="11295" activeTab="3" xr2:uid="{00000000-000D-0000-FFFF-FFFF00000000}"/>
  </bookViews>
  <sheets>
    <sheet name="Master" sheetId="1" r:id="rId1"/>
    <sheet name="DCF" sheetId="2" r:id="rId2"/>
    <sheet name="Operating Build" sheetId="3" r:id="rId3"/>
    <sheet name="Assumptions" sheetId="5" r:id="rId4"/>
  </sheets>
  <definedNames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44868.9440972222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gpikrT8WYD1n/EJP+kulwNImM1lw=="/>
    </ext>
  </extLst>
</workbook>
</file>

<file path=xl/calcChain.xml><?xml version="1.0" encoding="utf-8"?>
<calcChain xmlns="http://schemas.openxmlformats.org/spreadsheetml/2006/main">
  <c r="E98" i="5" l="1"/>
  <c r="D98" i="5"/>
  <c r="C98" i="5"/>
  <c r="E92" i="5"/>
  <c r="D92" i="5"/>
  <c r="D93" i="5" s="1"/>
  <c r="C92" i="5"/>
  <c r="G90" i="5"/>
  <c r="F90" i="5"/>
  <c r="G89" i="5"/>
  <c r="F89" i="5"/>
  <c r="G88" i="5"/>
  <c r="F88" i="5"/>
  <c r="E87" i="5"/>
  <c r="E86" i="5"/>
  <c r="D86" i="5"/>
  <c r="C86" i="5"/>
  <c r="E80" i="5"/>
  <c r="D80" i="5"/>
  <c r="C80" i="5"/>
  <c r="E75" i="5"/>
  <c r="E74" i="5"/>
  <c r="D74" i="5"/>
  <c r="D75" i="5" s="1"/>
  <c r="C74" i="5"/>
  <c r="E68" i="5"/>
  <c r="D68" i="5"/>
  <c r="C68" i="5"/>
  <c r="E62" i="5"/>
  <c r="D62" i="5"/>
  <c r="D63" i="5" s="1"/>
  <c r="C62" i="5"/>
  <c r="E56" i="5"/>
  <c r="D56" i="5"/>
  <c r="C56" i="5"/>
  <c r="E51" i="5"/>
  <c r="E50" i="5"/>
  <c r="D50" i="5"/>
  <c r="C50" i="5"/>
  <c r="D51" i="5" s="1"/>
  <c r="C45" i="5"/>
  <c r="E44" i="5"/>
  <c r="E45" i="5" s="1"/>
  <c r="D44" i="5"/>
  <c r="D45" i="5" s="1"/>
  <c r="C44" i="5"/>
  <c r="E38" i="5"/>
  <c r="D38" i="5"/>
  <c r="C38" i="5"/>
  <c r="B38" i="5"/>
  <c r="E32" i="5"/>
  <c r="D32" i="5"/>
  <c r="C32" i="5"/>
  <c r="E27" i="5"/>
  <c r="E26" i="5"/>
  <c r="D26" i="5"/>
  <c r="D27" i="5" s="1"/>
  <c r="C26" i="5"/>
  <c r="C27" i="5" s="1"/>
  <c r="C21" i="5"/>
  <c r="E20" i="5"/>
  <c r="E21" i="5" s="1"/>
  <c r="D20" i="5"/>
  <c r="C20" i="5"/>
  <c r="E15" i="5"/>
  <c r="E14" i="5"/>
  <c r="D14" i="5"/>
  <c r="C14" i="5"/>
  <c r="D15" i="5" s="1"/>
  <c r="E8" i="5"/>
  <c r="E9" i="5" s="1"/>
  <c r="D8" i="5"/>
  <c r="D9" i="5" s="1"/>
  <c r="C8" i="5"/>
  <c r="G7" i="5"/>
  <c r="H7" i="5" s="1"/>
  <c r="I7" i="5" s="1"/>
  <c r="J7" i="5" s="1"/>
  <c r="K7" i="5" s="1"/>
  <c r="D7" i="5"/>
  <c r="E7" i="5" s="1"/>
  <c r="D4" i="5"/>
  <c r="K99" i="5" s="1"/>
  <c r="D50" i="3"/>
  <c r="E51" i="3" s="1"/>
  <c r="C50" i="3"/>
  <c r="D51" i="3" s="1"/>
  <c r="E48" i="3"/>
  <c r="D48" i="3"/>
  <c r="C48" i="3"/>
  <c r="E43" i="3"/>
  <c r="E50" i="3" s="1"/>
  <c r="D43" i="3"/>
  <c r="C43" i="3"/>
  <c r="E22" i="3"/>
  <c r="D22" i="3"/>
  <c r="C22" i="3"/>
  <c r="E15" i="3"/>
  <c r="D15" i="3"/>
  <c r="D17" i="3" s="1"/>
  <c r="D24" i="3" s="1"/>
  <c r="C15" i="3"/>
  <c r="E10" i="3"/>
  <c r="D10" i="3"/>
  <c r="D39" i="5" s="1"/>
  <c r="C10" i="3"/>
  <c r="G7" i="3"/>
  <c r="H7" i="3" s="1"/>
  <c r="I7" i="3" s="1"/>
  <c r="J7" i="3" s="1"/>
  <c r="K7" i="3" s="1"/>
  <c r="E7" i="3"/>
  <c r="D7" i="3"/>
  <c r="D4" i="3"/>
  <c r="C63" i="2"/>
  <c r="C43" i="2"/>
  <c r="C45" i="2" s="1"/>
  <c r="C37" i="2"/>
  <c r="P28" i="2"/>
  <c r="L28" i="2"/>
  <c r="D26" i="2"/>
  <c r="E26" i="2" s="1"/>
  <c r="F26" i="2" s="1"/>
  <c r="G26" i="2" s="1"/>
  <c r="H26" i="2" s="1"/>
  <c r="P25" i="2"/>
  <c r="L25" i="2"/>
  <c r="D7" i="2"/>
  <c r="E7" i="2" s="1"/>
  <c r="F7" i="2" s="1"/>
  <c r="G7" i="2" s="1"/>
  <c r="H7" i="2" s="1"/>
  <c r="D4" i="2"/>
  <c r="D8" i="1"/>
  <c r="C4" i="5" s="1"/>
  <c r="D36" i="3" l="1"/>
  <c r="D25" i="3"/>
  <c r="D57" i="5"/>
  <c r="D29" i="3"/>
  <c r="D30" i="3" s="1"/>
  <c r="D34" i="3"/>
  <c r="C93" i="5"/>
  <c r="C63" i="5"/>
  <c r="C99" i="5"/>
  <c r="C81" i="5"/>
  <c r="C69" i="5"/>
  <c r="C33" i="5"/>
  <c r="E69" i="5"/>
  <c r="E93" i="5"/>
  <c r="E63" i="5"/>
  <c r="E11" i="3"/>
  <c r="E17" i="3"/>
  <c r="C17" i="3"/>
  <c r="E33" i="5"/>
  <c r="L12" i="2"/>
  <c r="P12" i="2"/>
  <c r="C39" i="5"/>
  <c r="E39" i="5"/>
  <c r="E81" i="5"/>
  <c r="D18" i="3"/>
  <c r="D87" i="5"/>
  <c r="C87" i="5"/>
  <c r="C75" i="5"/>
  <c r="E99" i="5"/>
  <c r="C46" i="2"/>
  <c r="K9" i="5"/>
  <c r="F15" i="5"/>
  <c r="F14" i="5" s="1"/>
  <c r="F27" i="5"/>
  <c r="K45" i="5"/>
  <c r="F51" i="5"/>
  <c r="F50" i="5" s="1"/>
  <c r="F63" i="5"/>
  <c r="F75" i="5"/>
  <c r="F87" i="5"/>
  <c r="F93" i="5"/>
  <c r="G15" i="5"/>
  <c r="G27" i="5"/>
  <c r="F39" i="5"/>
  <c r="G51" i="5"/>
  <c r="G63" i="5"/>
  <c r="G75" i="5"/>
  <c r="G87" i="5"/>
  <c r="G93" i="5"/>
  <c r="H15" i="5"/>
  <c r="H27" i="5"/>
  <c r="G39" i="5"/>
  <c r="H51" i="5"/>
  <c r="H63" i="5"/>
  <c r="H75" i="5"/>
  <c r="H87" i="5"/>
  <c r="H93" i="5"/>
  <c r="I15" i="5"/>
  <c r="I27" i="5"/>
  <c r="H39" i="5"/>
  <c r="I51" i="5"/>
  <c r="I63" i="5"/>
  <c r="I75" i="5"/>
  <c r="I87" i="5"/>
  <c r="I93" i="5"/>
  <c r="J15" i="5"/>
  <c r="D21" i="5"/>
  <c r="J27" i="5"/>
  <c r="D33" i="5"/>
  <c r="I39" i="5"/>
  <c r="J51" i="5"/>
  <c r="J63" i="5"/>
  <c r="D69" i="5"/>
  <c r="J75" i="5"/>
  <c r="D81" i="5"/>
  <c r="J87" i="5"/>
  <c r="J93" i="5"/>
  <c r="D99" i="5"/>
  <c r="C4" i="3"/>
  <c r="C4" i="2"/>
  <c r="K15" i="5"/>
  <c r="K27" i="5"/>
  <c r="J39" i="5"/>
  <c r="K51" i="5"/>
  <c r="K63" i="5"/>
  <c r="K75" i="5"/>
  <c r="K87" i="5"/>
  <c r="K93" i="5"/>
  <c r="F21" i="5"/>
  <c r="F33" i="5"/>
  <c r="K39" i="5"/>
  <c r="F57" i="5"/>
  <c r="F69" i="5"/>
  <c r="F81" i="5"/>
  <c r="F99" i="5"/>
  <c r="F9" i="5"/>
  <c r="F8" i="5" s="1"/>
  <c r="G21" i="5"/>
  <c r="G33" i="5"/>
  <c r="F45" i="5"/>
  <c r="G57" i="5"/>
  <c r="G69" i="5"/>
  <c r="G81" i="5"/>
  <c r="G99" i="5"/>
  <c r="G9" i="5"/>
  <c r="H21" i="5"/>
  <c r="H33" i="5"/>
  <c r="G45" i="5"/>
  <c r="H57" i="5"/>
  <c r="H69" i="5"/>
  <c r="H81" i="5"/>
  <c r="H99" i="5"/>
  <c r="H9" i="5"/>
  <c r="I21" i="5"/>
  <c r="I33" i="5"/>
  <c r="H45" i="5"/>
  <c r="I57" i="5"/>
  <c r="I69" i="5"/>
  <c r="I81" i="5"/>
  <c r="I99" i="5"/>
  <c r="D11" i="3"/>
  <c r="I9" i="5"/>
  <c r="J21" i="5"/>
  <c r="J33" i="5"/>
  <c r="I45" i="5"/>
  <c r="J57" i="5"/>
  <c r="J69" i="5"/>
  <c r="J81" i="5"/>
  <c r="J99" i="5"/>
  <c r="J9" i="5"/>
  <c r="K21" i="5"/>
  <c r="K33" i="5"/>
  <c r="J45" i="5"/>
  <c r="K57" i="5"/>
  <c r="K69" i="5"/>
  <c r="K81" i="5"/>
  <c r="G50" i="5" l="1"/>
  <c r="F32" i="3"/>
  <c r="G14" i="5"/>
  <c r="G26" i="5" s="1"/>
  <c r="G14" i="3" s="1"/>
  <c r="F9" i="3"/>
  <c r="F18" i="2"/>
  <c r="C18" i="2"/>
  <c r="C40" i="2" s="1"/>
  <c r="C41" i="2" s="1"/>
  <c r="C47" i="2" s="1"/>
  <c r="G18" i="2"/>
  <c r="F20" i="5"/>
  <c r="F13" i="3" s="1"/>
  <c r="G8" i="5"/>
  <c r="G20" i="5" s="1"/>
  <c r="G13" i="3" s="1"/>
  <c r="F8" i="3"/>
  <c r="F26" i="5"/>
  <c r="F14" i="3" s="1"/>
  <c r="D18" i="2"/>
  <c r="C18" i="3"/>
  <c r="C24" i="3"/>
  <c r="E24" i="3"/>
  <c r="E18" i="3"/>
  <c r="H18" i="2"/>
  <c r="E18" i="2"/>
  <c r="F10" i="3" l="1"/>
  <c r="F98" i="5" s="1"/>
  <c r="F47" i="3" s="1"/>
  <c r="F15" i="3"/>
  <c r="F74" i="5" s="1"/>
  <c r="F41" i="3" s="1"/>
  <c r="H27" i="2"/>
  <c r="F27" i="2"/>
  <c r="D27" i="2"/>
  <c r="G27" i="2"/>
  <c r="E27" i="2"/>
  <c r="C36" i="3"/>
  <c r="C57" i="5"/>
  <c r="C34" i="3"/>
  <c r="C25" i="3"/>
  <c r="C29" i="3"/>
  <c r="C30" i="3" s="1"/>
  <c r="E36" i="3"/>
  <c r="E29" i="3"/>
  <c r="E30" i="3" s="1"/>
  <c r="E25" i="3"/>
  <c r="E34" i="3"/>
  <c r="E57" i="5"/>
  <c r="G9" i="3"/>
  <c r="H14" i="5"/>
  <c r="G15" i="3"/>
  <c r="G8" i="3"/>
  <c r="H8" i="5"/>
  <c r="H50" i="5"/>
  <c r="G32" i="3"/>
  <c r="F38" i="5" l="1"/>
  <c r="F21" i="3" s="1"/>
  <c r="F92" i="5"/>
  <c r="F46" i="3" s="1"/>
  <c r="F62" i="5"/>
  <c r="F38" i="3" s="1"/>
  <c r="C21" i="2" s="1"/>
  <c r="F80" i="5"/>
  <c r="F42" i="3" s="1"/>
  <c r="F32" i="5"/>
  <c r="F20" i="3" s="1"/>
  <c r="F68" i="5"/>
  <c r="F40" i="3" s="1"/>
  <c r="C8" i="2"/>
  <c r="F11" i="3"/>
  <c r="C9" i="2" s="1"/>
  <c r="F86" i="5"/>
  <c r="F45" i="3" s="1"/>
  <c r="F17" i="3"/>
  <c r="F18" i="3" s="1"/>
  <c r="H9" i="3"/>
  <c r="I14" i="5"/>
  <c r="H26" i="5"/>
  <c r="H14" i="3" s="1"/>
  <c r="I50" i="5"/>
  <c r="H32" i="3"/>
  <c r="I8" i="5"/>
  <c r="H8" i="3"/>
  <c r="H20" i="5"/>
  <c r="H13" i="3" s="1"/>
  <c r="G10" i="3"/>
  <c r="G86" i="5"/>
  <c r="G45" i="3" s="1"/>
  <c r="G74" i="5"/>
  <c r="G41" i="3" s="1"/>
  <c r="F22" i="3" l="1"/>
  <c r="C10" i="2" s="1"/>
  <c r="F48" i="3"/>
  <c r="F44" i="5"/>
  <c r="F27" i="3" s="1"/>
  <c r="C11" i="2" s="1"/>
  <c r="C20" i="2" s="1"/>
  <c r="F43" i="3"/>
  <c r="H10" i="3"/>
  <c r="H98" i="5" s="1"/>
  <c r="H47" i="3" s="1"/>
  <c r="H15" i="3"/>
  <c r="I9" i="3"/>
  <c r="J14" i="5"/>
  <c r="I26" i="5"/>
  <c r="I14" i="3" s="1"/>
  <c r="G17" i="3"/>
  <c r="G11" i="3"/>
  <c r="D9" i="2" s="1"/>
  <c r="D8" i="2"/>
  <c r="G62" i="5"/>
  <c r="G38" i="3" s="1"/>
  <c r="G92" i="5"/>
  <c r="G46" i="3" s="1"/>
  <c r="G68" i="5"/>
  <c r="G40" i="3" s="1"/>
  <c r="G80" i="5"/>
  <c r="G42" i="3" s="1"/>
  <c r="G98" i="5"/>
  <c r="G47" i="3" s="1"/>
  <c r="G32" i="5"/>
  <c r="G20" i="3" s="1"/>
  <c r="G38" i="5"/>
  <c r="G21" i="3" s="1"/>
  <c r="I8" i="3"/>
  <c r="J8" i="5"/>
  <c r="I20" i="5"/>
  <c r="I13" i="3" s="1"/>
  <c r="J50" i="5"/>
  <c r="I32" i="3"/>
  <c r="F50" i="3" l="1"/>
  <c r="F51" i="3" s="1"/>
  <c r="C22" i="2" s="1"/>
  <c r="F24" i="3"/>
  <c r="F56" i="5" s="1"/>
  <c r="F33" i="3" s="1"/>
  <c r="F34" i="3" s="1"/>
  <c r="C14" i="2"/>
  <c r="C12" i="2"/>
  <c r="H80" i="5"/>
  <c r="H42" i="3" s="1"/>
  <c r="E8" i="2"/>
  <c r="H32" i="5"/>
  <c r="H20" i="3" s="1"/>
  <c r="H11" i="3"/>
  <c r="E9" i="2" s="1"/>
  <c r="H38" i="5"/>
  <c r="H21" i="3" s="1"/>
  <c r="H62" i="5"/>
  <c r="H38" i="3" s="1"/>
  <c r="E21" i="2" s="1"/>
  <c r="H17" i="3"/>
  <c r="H18" i="3" s="1"/>
  <c r="H92" i="5"/>
  <c r="H46" i="3" s="1"/>
  <c r="H68" i="5"/>
  <c r="H40" i="3" s="1"/>
  <c r="I10" i="3"/>
  <c r="I11" i="3" s="1"/>
  <c r="F9" i="2" s="1"/>
  <c r="H74" i="5"/>
  <c r="H41" i="3" s="1"/>
  <c r="H86" i="5"/>
  <c r="H45" i="3" s="1"/>
  <c r="G48" i="3"/>
  <c r="G22" i="3"/>
  <c r="D10" i="2" s="1"/>
  <c r="G43" i="3"/>
  <c r="J9" i="3"/>
  <c r="K14" i="5"/>
  <c r="J26" i="5"/>
  <c r="J14" i="3" s="1"/>
  <c r="D21" i="2"/>
  <c r="G44" i="5"/>
  <c r="G27" i="3" s="1"/>
  <c r="D11" i="2" s="1"/>
  <c r="K50" i="5"/>
  <c r="K32" i="3" s="1"/>
  <c r="J32" i="3"/>
  <c r="I15" i="3"/>
  <c r="G18" i="3"/>
  <c r="J8" i="3"/>
  <c r="K8" i="5"/>
  <c r="J20" i="5"/>
  <c r="J13" i="3" s="1"/>
  <c r="F29" i="3" l="1"/>
  <c r="F30" i="3" s="1"/>
  <c r="C15" i="2"/>
  <c r="C16" i="2" s="1"/>
  <c r="F25" i="3"/>
  <c r="C13" i="2"/>
  <c r="H44" i="5"/>
  <c r="H27" i="3" s="1"/>
  <c r="E11" i="2" s="1"/>
  <c r="E14" i="2" s="1"/>
  <c r="F36" i="3"/>
  <c r="J10" i="3"/>
  <c r="J11" i="3" s="1"/>
  <c r="G9" i="2" s="1"/>
  <c r="I68" i="5"/>
  <c r="I40" i="3" s="1"/>
  <c r="I80" i="5"/>
  <c r="I42" i="3" s="1"/>
  <c r="H43" i="3"/>
  <c r="H22" i="3"/>
  <c r="E10" i="2" s="1"/>
  <c r="I38" i="5"/>
  <c r="I21" i="3" s="1"/>
  <c r="I32" i="5"/>
  <c r="I20" i="3" s="1"/>
  <c r="I98" i="5"/>
  <c r="I47" i="3" s="1"/>
  <c r="I92" i="5"/>
  <c r="I46" i="3" s="1"/>
  <c r="I62" i="5"/>
  <c r="I38" i="3" s="1"/>
  <c r="I44" i="5" s="1"/>
  <c r="I27" i="3" s="1"/>
  <c r="F11" i="2" s="1"/>
  <c r="F8" i="2"/>
  <c r="H48" i="3"/>
  <c r="G50" i="3"/>
  <c r="G51" i="3" s="1"/>
  <c r="D22" i="2" s="1"/>
  <c r="D12" i="2"/>
  <c r="D13" i="2" s="1"/>
  <c r="G24" i="3"/>
  <c r="G29" i="3" s="1"/>
  <c r="G30" i="3" s="1"/>
  <c r="K8" i="3"/>
  <c r="K20" i="5"/>
  <c r="K13" i="3" s="1"/>
  <c r="K9" i="3"/>
  <c r="K26" i="5"/>
  <c r="K14" i="3" s="1"/>
  <c r="I86" i="5"/>
  <c r="I45" i="3" s="1"/>
  <c r="I74" i="5"/>
  <c r="I41" i="3" s="1"/>
  <c r="D14" i="2"/>
  <c r="D20" i="2"/>
  <c r="J15" i="3"/>
  <c r="I17" i="3"/>
  <c r="C17" i="2" l="1"/>
  <c r="C19" i="2" s="1"/>
  <c r="C23" i="2" s="1"/>
  <c r="C25" i="2" s="1"/>
  <c r="I22" i="3"/>
  <c r="F10" i="2" s="1"/>
  <c r="F12" i="2" s="1"/>
  <c r="F13" i="2" s="1"/>
  <c r="H50" i="3"/>
  <c r="H51" i="3" s="1"/>
  <c r="E22" i="2" s="1"/>
  <c r="E12" i="2"/>
  <c r="E15" i="2" s="1"/>
  <c r="E20" i="2"/>
  <c r="J98" i="5"/>
  <c r="J47" i="3" s="1"/>
  <c r="J62" i="5"/>
  <c r="J38" i="3" s="1"/>
  <c r="J44" i="5" s="1"/>
  <c r="J27" i="3" s="1"/>
  <c r="G11" i="2" s="1"/>
  <c r="J68" i="5"/>
  <c r="J40" i="3" s="1"/>
  <c r="H24" i="3"/>
  <c r="H56" i="5" s="1"/>
  <c r="H33" i="3" s="1"/>
  <c r="H34" i="3" s="1"/>
  <c r="J80" i="5"/>
  <c r="J42" i="3" s="1"/>
  <c r="J92" i="5"/>
  <c r="J46" i="3" s="1"/>
  <c r="I43" i="3"/>
  <c r="J38" i="5"/>
  <c r="J21" i="3" s="1"/>
  <c r="J32" i="5"/>
  <c r="J20" i="3" s="1"/>
  <c r="F21" i="2"/>
  <c r="G8" i="2"/>
  <c r="I48" i="3"/>
  <c r="D15" i="2"/>
  <c r="D16" i="2" s="1"/>
  <c r="G25" i="3"/>
  <c r="G56" i="5"/>
  <c r="G33" i="3" s="1"/>
  <c r="G34" i="3" s="1"/>
  <c r="I18" i="3"/>
  <c r="J86" i="5"/>
  <c r="J45" i="3" s="1"/>
  <c r="J74" i="5"/>
  <c r="J41" i="3" s="1"/>
  <c r="K10" i="3"/>
  <c r="F14" i="2"/>
  <c r="F20" i="2"/>
  <c r="K15" i="3"/>
  <c r="J17" i="3"/>
  <c r="I24" i="3" l="1"/>
  <c r="I25" i="3" s="1"/>
  <c r="E13" i="2"/>
  <c r="J43" i="3"/>
  <c r="H36" i="3"/>
  <c r="J22" i="3"/>
  <c r="G10" i="2" s="1"/>
  <c r="G12" i="2" s="1"/>
  <c r="G13" i="2" s="1"/>
  <c r="H29" i="3"/>
  <c r="H30" i="3" s="1"/>
  <c r="G21" i="2"/>
  <c r="H25" i="3"/>
  <c r="J48" i="3"/>
  <c r="I50" i="3"/>
  <c r="I51" i="3" s="1"/>
  <c r="F22" i="2" s="1"/>
  <c r="F15" i="2"/>
  <c r="F17" i="2" s="1"/>
  <c r="F19" i="2" s="1"/>
  <c r="G36" i="3"/>
  <c r="D17" i="2"/>
  <c r="D19" i="2" s="1"/>
  <c r="D23" i="2" s="1"/>
  <c r="D24" i="2" s="1"/>
  <c r="D25" i="2" s="1"/>
  <c r="D28" i="2" s="1"/>
  <c r="G14" i="2"/>
  <c r="G20" i="2"/>
  <c r="K17" i="3"/>
  <c r="K11" i="3"/>
  <c r="H9" i="2" s="1"/>
  <c r="H8" i="2"/>
  <c r="K98" i="5"/>
  <c r="K47" i="3" s="1"/>
  <c r="K32" i="5"/>
  <c r="K20" i="3" s="1"/>
  <c r="K68" i="5"/>
  <c r="K40" i="3" s="1"/>
  <c r="K80" i="5"/>
  <c r="K42" i="3" s="1"/>
  <c r="K92" i="5"/>
  <c r="K46" i="3" s="1"/>
  <c r="K38" i="5"/>
  <c r="K21" i="3" s="1"/>
  <c r="K62" i="5"/>
  <c r="K38" i="3" s="1"/>
  <c r="E16" i="2"/>
  <c r="E17" i="2"/>
  <c r="E19" i="2" s="1"/>
  <c r="E23" i="2" s="1"/>
  <c r="E25" i="2" s="1"/>
  <c r="E28" i="2" s="1"/>
  <c r="J18" i="3"/>
  <c r="K86" i="5"/>
  <c r="K45" i="3" s="1"/>
  <c r="K74" i="5"/>
  <c r="K41" i="3" s="1"/>
  <c r="I56" i="5" l="1"/>
  <c r="I33" i="3" s="1"/>
  <c r="I34" i="3" s="1"/>
  <c r="I29" i="3"/>
  <c r="I30" i="3" s="1"/>
  <c r="F23" i="2"/>
  <c r="F25" i="2" s="1"/>
  <c r="F28" i="2" s="1"/>
  <c r="F16" i="2"/>
  <c r="J50" i="3"/>
  <c r="J51" i="3" s="1"/>
  <c r="G22" i="2" s="1"/>
  <c r="J24" i="3"/>
  <c r="J25" i="3" s="1"/>
  <c r="G15" i="2"/>
  <c r="G17" i="2" s="1"/>
  <c r="G19" i="2" s="1"/>
  <c r="H21" i="2"/>
  <c r="K44" i="5"/>
  <c r="K27" i="3" s="1"/>
  <c r="H11" i="2" s="1"/>
  <c r="K43" i="3"/>
  <c r="K22" i="3"/>
  <c r="H10" i="2" s="1"/>
  <c r="K18" i="3"/>
  <c r="K48" i="3"/>
  <c r="I36" i="3" l="1"/>
  <c r="G16" i="2"/>
  <c r="J56" i="5"/>
  <c r="J33" i="3" s="1"/>
  <c r="J34" i="3" s="1"/>
  <c r="J29" i="3"/>
  <c r="J30" i="3" s="1"/>
  <c r="H12" i="2"/>
  <c r="H13" i="2" s="1"/>
  <c r="K50" i="3"/>
  <c r="K51" i="3" s="1"/>
  <c r="H22" i="2" s="1"/>
  <c r="K24" i="3"/>
  <c r="H20" i="2"/>
  <c r="H14" i="2"/>
  <c r="G23" i="2"/>
  <c r="G25" i="2" s="1"/>
  <c r="G28" i="2" s="1"/>
  <c r="H15" i="2" l="1"/>
  <c r="H16" i="2" s="1"/>
  <c r="L9" i="2"/>
  <c r="L11" i="2" s="1"/>
  <c r="L13" i="2" s="1"/>
  <c r="L17" i="2" s="1"/>
  <c r="J36" i="3"/>
  <c r="K25" i="3"/>
  <c r="K29" i="3"/>
  <c r="K30" i="3" s="1"/>
  <c r="K56" i="5"/>
  <c r="K33" i="3" s="1"/>
  <c r="K34" i="3" s="1"/>
  <c r="H17" i="2" l="1"/>
  <c r="H19" i="2" s="1"/>
  <c r="H23" i="2" s="1"/>
  <c r="H25" i="2" s="1"/>
  <c r="H28" i="2" s="1"/>
  <c r="K36" i="3"/>
  <c r="P9" i="2" l="1"/>
  <c r="P11" i="2" s="1"/>
  <c r="P13" i="2" s="1"/>
  <c r="P17" i="2" s="1"/>
  <c r="L16" i="2"/>
  <c r="P16" i="2"/>
  <c r="P18" i="2" l="1"/>
  <c r="P19" i="2" s="1"/>
  <c r="L18" i="2"/>
  <c r="L24" i="2" l="1"/>
  <c r="L27" i="2" s="1"/>
  <c r="L29" i="2" s="1"/>
  <c r="L20" i="2"/>
  <c r="L19" i="2"/>
  <c r="P24" i="2"/>
  <c r="P27" i="2" s="1"/>
  <c r="P29" i="2" s="1"/>
  <c r="P20" i="2"/>
  <c r="P21" i="2" s="1"/>
  <c r="L21" i="2" l="1"/>
  <c r="P30" i="2"/>
  <c r="C60" i="2"/>
  <c r="G7" i="1"/>
  <c r="L30" i="2"/>
  <c r="G6" i="1"/>
  <c r="G8" i="1" s="1"/>
  <c r="C52" i="2"/>
  <c r="G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Tucker Lawrence</author>
  </authors>
  <commentList>
    <comment ref="G8" authorId="0" shapeId="0" xr:uid="{FB0C9CDC-9F4C-49AF-A020-DF2229ECD45A}">
      <text>
        <r>
          <rPr>
            <b/>
            <sz val="9"/>
            <color indexed="81"/>
            <rFont val="Tahoma"/>
            <charset val="1"/>
          </rPr>
          <t>Tucker Lawrence:</t>
        </r>
        <r>
          <rPr>
            <sz val="9"/>
            <color indexed="81"/>
            <rFont val="Tahoma"/>
            <charset val="1"/>
          </rPr>
          <t xml:space="preserve">
Used only the Exit Multiple method because revenue growth for 2027 was 15%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10" authorId="0" shapeId="0" xr:uid="{00000000-0006-0000-0100-000003000000}">
      <text>
        <r>
          <rPr>
            <sz val="11"/>
            <color theme="1"/>
            <rFont val="Calibri"/>
            <scheme val="minor"/>
          </rPr>
          <t>======
ID#AAAAjVHdC6M
Patrick Hanley    (2022-11-03 23:00:41)
% based on historical inflation</t>
        </r>
      </text>
    </comment>
    <comment ref="L28" authorId="0" shapeId="0" xr:uid="{00000000-0006-0000-0100-000002000000}">
      <text>
        <r>
          <rPr>
            <sz val="11"/>
            <color theme="1"/>
            <rFont val="Calibri"/>
            <scheme val="minor"/>
          </rPr>
          <t>======
ID#AAAAjVHdC6Q
Tucker Lawrence    (2022-11-03 23:00:41)
need to change if doing it in thousands?</t>
        </r>
      </text>
    </comment>
    <comment ref="C34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ID#AAAAjVHdC6U
Patrick Hanley    (2022-11-03 23:00:41)
Used average MRP from 2011-2022 (Statista)</t>
        </r>
      </text>
    </comment>
    <comment ref="C39" authorId="0" shapeId="0" xr:uid="{00000000-0006-0000-0100-000004000000}">
      <text>
        <r>
          <rPr>
            <sz val="11"/>
            <color theme="1"/>
            <rFont val="Calibri"/>
            <scheme val="minor"/>
          </rPr>
          <t>======
ID#AAAAjVHdC6I
Patrick Hanley    (2022-11-03 23:00:41)
Calculated using 2022 interest expense / total debt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VnGVbXYOvZXpSmLtX/nFcW9psi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6" authorId="0" shapeId="0" xr:uid="{00000000-0006-0000-0200-000001000000}">
      <text>
        <r>
          <rPr>
            <sz val="11"/>
            <color theme="1"/>
            <rFont val="Calibri"/>
            <scheme val="minor"/>
          </rPr>
          <t>======
ID#AAAAjVHdC6Y
Tucker Lawrence    (2022-11-03 23:00:41)
does this mess anything up?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/7sYkKFqIE1xkUeY/saCQuJZjtA=="/>
    </ext>
  </extL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52" authorId="0" shapeId="0" xr:uid="{00000000-0006-0000-0400-000002000000}">
      <text>
        <r>
          <rPr>
            <sz val="11"/>
            <color theme="1"/>
            <rFont val="Calibri"/>
            <scheme val="minor"/>
          </rPr>
          <t>======
ID#AAAAjVHdC6c
Tucker Lawrence    (2022-11-03 23:00:41)
not sure what to do here? - why such a big jump?</t>
        </r>
      </text>
    </comment>
    <comment ref="H58" authorId="0" shapeId="0" xr:uid="{00000000-0006-0000-0400-000001000000}">
      <text>
        <r>
          <rPr>
            <sz val="11"/>
            <color theme="1"/>
            <rFont val="Calibri"/>
            <scheme val="minor"/>
          </rPr>
          <t>======
ID#AAAAjVHdC6g
Tucker Lawrence    (2022-11-03 23:00:41)
fair assumption?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CwwpY5YAkmR52hWd3LuXlZGhk/g=="/>
    </ext>
  </extLst>
</comments>
</file>

<file path=xl/sharedStrings.xml><?xml version="1.0" encoding="utf-8"?>
<sst xmlns="http://schemas.openxmlformats.org/spreadsheetml/2006/main" count="231" uniqueCount="124">
  <si>
    <t>Omnicell Inc.</t>
  </si>
  <si>
    <t>Master</t>
  </si>
  <si>
    <t>Valuation Date</t>
  </si>
  <si>
    <t>DCF Valuation:</t>
  </si>
  <si>
    <t xml:space="preserve">Current Share Price </t>
  </si>
  <si>
    <t xml:space="preserve">Exit Multiple Method </t>
  </si>
  <si>
    <t xml:space="preserve">Gordon Growth Method </t>
  </si>
  <si>
    <t>Case (Adjustable)</t>
  </si>
  <si>
    <t xml:space="preserve">Blended Share Price </t>
  </si>
  <si>
    <t>Base</t>
  </si>
  <si>
    <t xml:space="preserve">Upside/Downside </t>
  </si>
  <si>
    <t xml:space="preserve">Bull </t>
  </si>
  <si>
    <t>Bear</t>
  </si>
  <si>
    <t>Discounted Cash Flow Valuation</t>
  </si>
  <si>
    <t>Active Case:</t>
  </si>
  <si>
    <t>x</t>
  </si>
  <si>
    <t>$ in thousands</t>
  </si>
  <si>
    <t>For Fiscal Year Ending September 24th,</t>
  </si>
  <si>
    <t>Exit Multiple Method:</t>
  </si>
  <si>
    <t>Gordon Growth Method:</t>
  </si>
  <si>
    <t>Revenue</t>
  </si>
  <si>
    <t>Terminal Value:</t>
  </si>
  <si>
    <t>% Growth</t>
  </si>
  <si>
    <t>2027 EBITDA</t>
  </si>
  <si>
    <t>2027 FCF</t>
  </si>
  <si>
    <t>(-) Operating Expenses</t>
  </si>
  <si>
    <t>Exit Multiple</t>
  </si>
  <si>
    <t>PGR</t>
  </si>
  <si>
    <t>(+) Depreciation &amp; Amortization</t>
  </si>
  <si>
    <t>Terminal Value</t>
  </si>
  <si>
    <t>EBITDA</t>
  </si>
  <si>
    <t>Period</t>
  </si>
  <si>
    <t>% Margin</t>
  </si>
  <si>
    <t>PV of Terminal Value</t>
  </si>
  <si>
    <t>(-) Depreciation &amp; Amortization</t>
  </si>
  <si>
    <t xml:space="preserve">EBIT </t>
  </si>
  <si>
    <t>Value Distribution:</t>
  </si>
  <si>
    <t>PV of Period Cash Flows</t>
  </si>
  <si>
    <t>(-) Taxes</t>
  </si>
  <si>
    <t>PV of Terminal Cash Flows</t>
  </si>
  <si>
    <t>% Effective Tax Rate</t>
  </si>
  <si>
    <t xml:space="preserve">Total </t>
  </si>
  <si>
    <t>NOPAT</t>
  </si>
  <si>
    <t>Period Cash Flows</t>
  </si>
  <si>
    <t>Terminal Cash Flows</t>
  </si>
  <si>
    <t>(-) Capital Expenditures</t>
  </si>
  <si>
    <t>(-) Change in Net Working Capital</t>
  </si>
  <si>
    <t>UFCF (excl. SBC)</t>
  </si>
  <si>
    <t>Implied Share Price:</t>
  </si>
  <si>
    <t>(-) Stub-Year</t>
  </si>
  <si>
    <t>Enterprise Value</t>
  </si>
  <si>
    <t>FCF For Discounting</t>
  </si>
  <si>
    <t>(-) Total Debt</t>
  </si>
  <si>
    <t>Discount Period</t>
  </si>
  <si>
    <t>(+) Cash</t>
  </si>
  <si>
    <t>Discount Factor</t>
  </si>
  <si>
    <t>Equity Value</t>
  </si>
  <si>
    <t>PV of UFCF</t>
  </si>
  <si>
    <t>Shares Outstanding (K)</t>
  </si>
  <si>
    <t>Share Price</t>
  </si>
  <si>
    <t>Weighted Average Cost of Capital:</t>
  </si>
  <si>
    <t xml:space="preserve">Market Risk Premium </t>
  </si>
  <si>
    <t xml:space="preserve">Adjusted Beta </t>
  </si>
  <si>
    <t xml:space="preserve">Risk Free Rate </t>
  </si>
  <si>
    <t xml:space="preserve">Cost of Equity </t>
  </si>
  <si>
    <t xml:space="preserve">Pre-Tax Cost of Debt </t>
  </si>
  <si>
    <t>Tax Rate</t>
  </si>
  <si>
    <t>Cost of Debt</t>
  </si>
  <si>
    <t xml:space="preserve">Total Equity </t>
  </si>
  <si>
    <t xml:space="preserve">Total Debt </t>
  </si>
  <si>
    <t xml:space="preserve">Equity / Total Capitalization </t>
  </si>
  <si>
    <t xml:space="preserve">Debt / Total Capitalization </t>
  </si>
  <si>
    <t>WACC</t>
  </si>
  <si>
    <t>Share Price Sensitivity Analysis:</t>
  </si>
  <si>
    <t>Discount Rate</t>
  </si>
  <si>
    <t xml:space="preserve">Exit Multiple  </t>
  </si>
  <si>
    <t>Perpetuity Growth Method:</t>
  </si>
  <si>
    <t xml:space="preserve">Operating Build </t>
  </si>
  <si>
    <t>Historical Years</t>
  </si>
  <si>
    <t>Forecasted Years</t>
  </si>
  <si>
    <t>Products Revenue</t>
  </si>
  <si>
    <t>Serrvices Revenue</t>
  </si>
  <si>
    <t>Total Revenue</t>
  </si>
  <si>
    <t>Products COGS</t>
  </si>
  <si>
    <t>Services COGS</t>
  </si>
  <si>
    <t xml:space="preserve">(-) Cost of Goods Sold </t>
  </si>
  <si>
    <t xml:space="preserve">Gross Profit </t>
  </si>
  <si>
    <t xml:space="preserve">Research and Development </t>
  </si>
  <si>
    <t>Selling, General, and Administrative</t>
  </si>
  <si>
    <t xml:space="preserve">(-) Total Operating Expenses </t>
  </si>
  <si>
    <t>Operating Income (EBIT)</t>
  </si>
  <si>
    <t xml:space="preserve">(+) Depreciation &amp; Amortization </t>
  </si>
  <si>
    <t>Note: EBITDA</t>
  </si>
  <si>
    <t>(+) Other Income (Expense)</t>
  </si>
  <si>
    <t xml:space="preserve">Net Income </t>
  </si>
  <si>
    <t xml:space="preserve">Capital Expenditures </t>
  </si>
  <si>
    <t xml:space="preserve">Accounts Receivable </t>
  </si>
  <si>
    <t>Inventory</t>
  </si>
  <si>
    <t>Other Current Assets</t>
  </si>
  <si>
    <t>Non-Cash Current Assets</t>
  </si>
  <si>
    <t xml:space="preserve">Accounts Payable </t>
  </si>
  <si>
    <t xml:space="preserve">Other Current Liabilities </t>
  </si>
  <si>
    <t>Deferred Revenue</t>
  </si>
  <si>
    <t xml:space="preserve">Non-Debt Current Liabilites </t>
  </si>
  <si>
    <t xml:space="preserve">Net Working Capital </t>
  </si>
  <si>
    <t xml:space="preserve">Change in Net Working Capital </t>
  </si>
  <si>
    <t xml:space="preserve">Assumptions </t>
  </si>
  <si>
    <t>Services Revenue</t>
  </si>
  <si>
    <t xml:space="preserve">% of Products Revenue </t>
  </si>
  <si>
    <t>% of Services Revenue</t>
  </si>
  <si>
    <t>% of Total Revenue</t>
  </si>
  <si>
    <t xml:space="preserve">Depreciation &amp; Amortization </t>
  </si>
  <si>
    <t>% of Capital Expenditures</t>
  </si>
  <si>
    <t>Other Income and Interest (Expense)</t>
  </si>
  <si>
    <t xml:space="preserve">% Growth </t>
  </si>
  <si>
    <t>Taxes</t>
  </si>
  <si>
    <t>Capital Expenditures</t>
  </si>
  <si>
    <t>Accounts Receivable</t>
  </si>
  <si>
    <t>Accounts Receivable Days</t>
  </si>
  <si>
    <t xml:space="preserve">Inventory </t>
  </si>
  <si>
    <t>Inventory Days</t>
  </si>
  <si>
    <t>Accounts Payable</t>
  </si>
  <si>
    <t>Accounts Payable Days</t>
  </si>
  <si>
    <t>Other Current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</si>
</sst>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8" formatCode="&quot;$&quot;#,##0.00_);[Red]\(&quot;$&quot;#,##0.00\)"/>
    <numFmt numFmtId="164" formatCode="_(#,##0.0%_);\(#,##0.0%\);_(&quot;–&quot;_)_%;_(@_)_%"/>
    <numFmt numFmtId="165" formatCode="yyyy&quot;E&quot;"/>
    <numFmt numFmtId="166" formatCode="&quot;$&quot;#,##0.0_);\(&quot;$&quot;#,##0.0\)"/>
    <numFmt numFmtId="167" formatCode="_(* #,##0.0_);_(* \(#,##0.0\);_(* &quot;-&quot;?_);_(@_)"/>
    <numFmt numFmtId="168" formatCode="0.0&quot;x&quot;"/>
    <numFmt numFmtId="169" formatCode="#,##0.0_);\(#,##0.0\)"/>
    <numFmt numFmtId="170" formatCode="&quot;$&quot;#,##0.00"/>
    <numFmt numFmtId="171" formatCode="&quot;&quot;"/>
    <numFmt numFmtId="172" formatCode="_(#,##0.00%_);\(#,##0.00%\);_(&quot;–&quot;_)_%;_(@_)_%"/>
    <numFmt numFmtId="173" formatCode="yyyy&quot;A&quot;"/>
  </numFmts>
  <fonts count="14">
    <font>
      <sz val="11"/>
      <color theme="1"/>
      <name val="Calibri"/>
      <scheme val="minor"/>
    </font>
    <font>
      <sz val="11"/>
      <color theme="1"/>
      <name val="Garamond"/>
    </font>
    <font>
      <b/>
      <sz val="11"/>
      <color theme="1"/>
      <name val="Garamond"/>
    </font>
    <font>
      <i/>
      <sz val="11"/>
      <color theme="1"/>
      <name val="Garamond"/>
    </font>
    <font>
      <sz val="11"/>
      <color rgb="FF0000FF"/>
      <name val="Garamond"/>
    </font>
    <font>
      <b/>
      <sz val="11"/>
      <color rgb="FF0000FF"/>
      <name val="Garamond"/>
    </font>
    <font>
      <sz val="11"/>
      <name val="Calibri"/>
    </font>
    <font>
      <b/>
      <u/>
      <sz val="11"/>
      <color theme="1"/>
      <name val="Garamond"/>
    </font>
    <font>
      <b/>
      <u/>
      <sz val="11"/>
      <color theme="1"/>
      <name val="Garamond"/>
    </font>
    <font>
      <sz val="11"/>
      <color rgb="FF00B050"/>
      <name val="Garamond"/>
    </font>
    <font>
      <b/>
      <sz val="11"/>
      <color rgb="FF00B050"/>
      <name val="Garamond"/>
    </font>
    <font>
      <i/>
      <sz val="11"/>
      <color rgb="FF0000FF"/>
      <name val="Garamond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5"/>
      </patternFill>
    </fill>
    <fill>
      <patternFill patternType="solid">
        <fgColor theme="0"/>
        <bgColor rgb="FFFEF2C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EF2CB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14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1" fillId="3" borderId="1" xfId="0" applyFont="1" applyFill="1" applyBorder="1"/>
    <xf numFmtId="8" fontId="4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7" fontId="1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7" fontId="2" fillId="0" borderId="2" xfId="0" applyNumberFormat="1" applyFont="1" applyBorder="1"/>
    <xf numFmtId="164" fontId="3" fillId="0" borderId="0" xfId="0" applyNumberFormat="1" applyFont="1"/>
    <xf numFmtId="0" fontId="2" fillId="0" borderId="3" xfId="0" applyFont="1" applyBorder="1"/>
    <xf numFmtId="0" fontId="1" fillId="0" borderId="3" xfId="0" applyFont="1" applyBorder="1"/>
    <xf numFmtId="165" fontId="2" fillId="0" borderId="3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166" fontId="2" fillId="4" borderId="1" xfId="0" applyNumberFormat="1" applyFont="1" applyFill="1" applyBorder="1"/>
    <xf numFmtId="0" fontId="3" fillId="0" borderId="0" xfId="0" applyFont="1" applyAlignment="1">
      <alignment horizontal="left"/>
    </xf>
    <xf numFmtId="0" fontId="1" fillId="0" borderId="7" xfId="0" applyFont="1" applyBorder="1"/>
    <xf numFmtId="0" fontId="1" fillId="0" borderId="2" xfId="0" applyFont="1" applyBorder="1"/>
    <xf numFmtId="166" fontId="1" fillId="0" borderId="8" xfId="0" applyNumberFormat="1" applyFont="1" applyBorder="1"/>
    <xf numFmtId="167" fontId="1" fillId="0" borderId="0" xfId="0" applyNumberFormat="1" applyFont="1"/>
    <xf numFmtId="0" fontId="1" fillId="0" borderId="9" xfId="0" applyFont="1" applyBorder="1"/>
    <xf numFmtId="10" fontId="4" fillId="0" borderId="11" xfId="0" applyNumberFormat="1" applyFont="1" applyBorder="1"/>
    <xf numFmtId="0" fontId="2" fillId="0" borderId="9" xfId="0" applyFont="1" applyBorder="1" applyAlignment="1">
      <alignment horizontal="left"/>
    </xf>
    <xf numFmtId="166" fontId="2" fillId="0" borderId="8" xfId="0" applyNumberFormat="1" applyFont="1" applyBorder="1"/>
    <xf numFmtId="167" fontId="2" fillId="4" borderId="1" xfId="0" applyNumberFormat="1" applyFont="1" applyFill="1" applyBorder="1"/>
    <xf numFmtId="169" fontId="1" fillId="0" borderId="11" xfId="0" applyNumberFormat="1" applyFont="1" applyBorder="1"/>
    <xf numFmtId="0" fontId="2" fillId="0" borderId="12" xfId="0" applyFont="1" applyBorder="1" applyAlignment="1">
      <alignment horizontal="left"/>
    </xf>
    <xf numFmtId="166" fontId="2" fillId="0" borderId="13" xfId="0" applyNumberFormat="1" applyFont="1" applyBorder="1"/>
    <xf numFmtId="166" fontId="1" fillId="0" borderId="11" xfId="0" applyNumberFormat="1" applyFont="1" applyBorder="1"/>
    <xf numFmtId="164" fontId="1" fillId="0" borderId="11" xfId="0" applyNumberFormat="1" applyFont="1" applyBorder="1"/>
    <xf numFmtId="9" fontId="2" fillId="0" borderId="12" xfId="0" applyNumberFormat="1" applyFont="1" applyBorder="1" applyAlignment="1">
      <alignment horizontal="left"/>
    </xf>
    <xf numFmtId="164" fontId="2" fillId="0" borderId="6" xfId="0" applyNumberFormat="1" applyFont="1" applyBorder="1"/>
    <xf numFmtId="0" fontId="2" fillId="0" borderId="9" xfId="0" applyFont="1" applyBorder="1"/>
    <xf numFmtId="0" fontId="1" fillId="0" borderId="9" xfId="0" applyFont="1" applyBorder="1" applyAlignment="1">
      <alignment horizontal="left"/>
    </xf>
    <xf numFmtId="167" fontId="1" fillId="0" borderId="11" xfId="0" applyNumberFormat="1" applyFont="1" applyBorder="1"/>
    <xf numFmtId="39" fontId="1" fillId="0" borderId="0" xfId="0" applyNumberFormat="1" applyFont="1"/>
    <xf numFmtId="167" fontId="4" fillId="0" borderId="11" xfId="0" applyNumberFormat="1" applyFont="1" applyBorder="1"/>
    <xf numFmtId="169" fontId="4" fillId="3" borderId="10" xfId="0" applyNumberFormat="1" applyFont="1" applyFill="1" applyBorder="1"/>
    <xf numFmtId="169" fontId="4" fillId="0" borderId="11" xfId="0" applyNumberFormat="1" applyFont="1" applyBorder="1"/>
    <xf numFmtId="7" fontId="2" fillId="0" borderId="8" xfId="0" applyNumberFormat="1" applyFont="1" applyBorder="1"/>
    <xf numFmtId="2" fontId="1" fillId="0" borderId="0" xfId="0" applyNumberFormat="1" applyFont="1"/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/>
    <xf numFmtId="164" fontId="4" fillId="0" borderId="0" xfId="0" applyNumberFormat="1" applyFont="1"/>
    <xf numFmtId="2" fontId="4" fillId="0" borderId="0" xfId="0" applyNumberFormat="1" applyFont="1"/>
    <xf numFmtId="0" fontId="2" fillId="4" borderId="1" xfId="0" applyFont="1" applyFill="1" applyBorder="1"/>
    <xf numFmtId="164" fontId="2" fillId="4" borderId="1" xfId="0" applyNumberFormat="1" applyFont="1" applyFill="1" applyBorder="1"/>
    <xf numFmtId="10" fontId="1" fillId="0" borderId="0" xfId="0" applyNumberFormat="1" applyFont="1"/>
    <xf numFmtId="164" fontId="1" fillId="0" borderId="0" xfId="0" applyNumberFormat="1" applyFont="1"/>
    <xf numFmtId="170" fontId="1" fillId="0" borderId="0" xfId="0" applyNumberFormat="1" applyFont="1"/>
    <xf numFmtId="166" fontId="4" fillId="0" borderId="0" xfId="0" applyNumberFormat="1" applyFont="1"/>
    <xf numFmtId="0" fontId="2" fillId="0" borderId="0" xfId="0" applyFont="1" applyAlignment="1">
      <alignment vertical="center" textRotation="90" wrapText="1"/>
    </xf>
    <xf numFmtId="171" fontId="1" fillId="4" borderId="1" xfId="0" applyNumberFormat="1" applyFont="1" applyFill="1" applyBorder="1"/>
    <xf numFmtId="172" fontId="2" fillId="4" borderId="1" xfId="0" applyNumberFormat="1" applyFont="1" applyFill="1" applyBorder="1" applyAlignment="1">
      <alignment horizontal="center"/>
    </xf>
    <xf numFmtId="168" fontId="2" fillId="4" borderId="1" xfId="0" applyNumberFormat="1" applyFont="1" applyFill="1" applyBorder="1"/>
    <xf numFmtId="7" fontId="1" fillId="0" borderId="0" xfId="0" applyNumberFormat="1" applyFont="1" applyAlignment="1">
      <alignment horizontal="center"/>
    </xf>
    <xf numFmtId="164" fontId="2" fillId="4" borderId="1" xfId="0" applyNumberFormat="1" applyFont="1" applyFill="1" applyBorder="1" applyAlignment="1">
      <alignment horizontal="left"/>
    </xf>
    <xf numFmtId="173" fontId="2" fillId="0" borderId="3" xfId="0" applyNumberFormat="1" applyFont="1" applyBorder="1" applyAlignment="1">
      <alignment horizontal="center" vertical="center"/>
    </xf>
    <xf numFmtId="169" fontId="4" fillId="0" borderId="0" xfId="0" applyNumberFormat="1" applyFont="1"/>
    <xf numFmtId="169" fontId="9" fillId="0" borderId="0" xfId="0" applyNumberFormat="1" applyFont="1"/>
    <xf numFmtId="166" fontId="2" fillId="0" borderId="0" xfId="0" applyNumberFormat="1" applyFont="1"/>
    <xf numFmtId="169" fontId="1" fillId="0" borderId="0" xfId="0" applyNumberFormat="1" applyFont="1"/>
    <xf numFmtId="166" fontId="2" fillId="3" borderId="1" xfId="0" applyNumberFormat="1" applyFont="1" applyFill="1" applyBorder="1"/>
    <xf numFmtId="166" fontId="10" fillId="0" borderId="0" xfId="0" applyNumberFormat="1" applyFont="1"/>
    <xf numFmtId="164" fontId="3" fillId="3" borderId="1" xfId="0" applyNumberFormat="1" applyFont="1" applyFill="1" applyBorder="1"/>
    <xf numFmtId="164" fontId="11" fillId="2" borderId="20" xfId="0" applyNumberFormat="1" applyFont="1" applyFill="1" applyBorder="1"/>
    <xf numFmtId="166" fontId="1" fillId="0" borderId="0" xfId="0" applyNumberFormat="1" applyFont="1"/>
    <xf numFmtId="169" fontId="3" fillId="3" borderId="1" xfId="0" applyNumberFormat="1" applyFont="1" applyFill="1" applyBorder="1"/>
    <xf numFmtId="169" fontId="11" fillId="2" borderId="20" xfId="0" applyNumberFormat="1" applyFont="1" applyFill="1" applyBorder="1"/>
    <xf numFmtId="168" fontId="4" fillId="5" borderId="10" xfId="0" applyNumberFormat="1" applyFont="1" applyFill="1" applyBorder="1"/>
    <xf numFmtId="164" fontId="11" fillId="6" borderId="20" xfId="0" applyNumberFormat="1" applyFont="1" applyFill="1" applyBorder="1"/>
    <xf numFmtId="0" fontId="1" fillId="7" borderId="0" xfId="0" applyFont="1" applyFill="1" applyAlignment="1">
      <alignment horizontal="left"/>
    </xf>
    <xf numFmtId="0" fontId="1" fillId="7" borderId="0" xfId="0" applyFont="1" applyFill="1"/>
    <xf numFmtId="164" fontId="11" fillId="8" borderId="20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right" vertical="center" textRotation="90" wrapText="1"/>
    </xf>
    <xf numFmtId="0" fontId="2" fillId="0" borderId="3" xfId="0" applyFont="1" applyBorder="1" applyAlignment="1">
      <alignment horizontal="center"/>
    </xf>
    <xf numFmtId="0" fontId="6" fillId="0" borderId="3" xfId="0" applyFont="1" applyBorder="1"/>
    <xf numFmtId="0" fontId="2" fillId="4" borderId="4" xfId="0" applyFont="1" applyFill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2" fillId="4" borderId="14" xfId="0" applyFont="1" applyFill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  <xf numFmtId="2" fontId="7" fillId="3" borderId="17" xfId="0" applyNumberFormat="1" applyFont="1" applyFill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8" fillId="3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ACC00"/>
  </sheetPr>
  <dimension ref="A1:Z1000"/>
  <sheetViews>
    <sheetView showGridLines="0" workbookViewId="0">
      <selection activeCell="I13" sqref="I13"/>
    </sheetView>
  </sheetViews>
  <sheetFormatPr defaultColWidth="14.42578125" defaultRowHeight="15" customHeight="1"/>
  <cols>
    <col min="1" max="1" width="2.7109375" customWidth="1"/>
    <col min="2" max="2" width="20.7109375" customWidth="1"/>
    <col min="3" max="3" width="11.28515625" customWidth="1"/>
    <col min="4" max="4" width="10.7109375" customWidth="1"/>
    <col min="5" max="5" width="4.7109375" customWidth="1"/>
    <col min="6" max="6" width="25.7109375" customWidth="1"/>
    <col min="7" max="7" width="20.7109375" customWidth="1"/>
    <col min="8" max="26" width="10.71093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 t="s">
        <v>2</v>
      </c>
      <c r="C5" s="5">
        <v>44872</v>
      </c>
      <c r="D5" s="6"/>
      <c r="E5" s="1"/>
      <c r="F5" s="2" t="s">
        <v>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7" t="s">
        <v>4</v>
      </c>
      <c r="C6" s="8">
        <v>48.98</v>
      </c>
      <c r="D6" s="6"/>
      <c r="E6" s="1"/>
      <c r="F6" s="9" t="s">
        <v>5</v>
      </c>
      <c r="G6" s="10">
        <f ca="1">+DCF!L29</f>
        <v>78.627027945337275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7"/>
      <c r="C7" s="6"/>
      <c r="D7" s="6"/>
      <c r="E7" s="1"/>
      <c r="F7" s="9" t="s">
        <v>6</v>
      </c>
      <c r="G7" s="10">
        <f ca="1">+DCF!P29</f>
        <v>87.584425650945221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" t="s">
        <v>7</v>
      </c>
      <c r="C8" s="11">
        <v>1</v>
      </c>
      <c r="D8" s="12" t="str">
        <f ca="1">+OFFSET(D8,$C$8,)</f>
        <v>Base</v>
      </c>
      <c r="E8" s="1"/>
      <c r="F8" s="13" t="s">
        <v>8</v>
      </c>
      <c r="G8" s="14">
        <f ca="1">G6</f>
        <v>78.627027945337275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"/>
      <c r="C9" s="1">
        <v>1</v>
      </c>
      <c r="D9" s="1" t="s">
        <v>9</v>
      </c>
      <c r="E9" s="1"/>
      <c r="F9" s="9" t="s">
        <v>10</v>
      </c>
      <c r="G9" s="15">
        <f ca="1">+G8/C6-1</f>
        <v>0.60528844314694319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>
        <v>2</v>
      </c>
      <c r="D10" s="1" t="s">
        <v>11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1">
        <v>3</v>
      </c>
      <c r="D11" s="1" t="s">
        <v>12</v>
      </c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ACC00"/>
  </sheetPr>
  <dimension ref="A1:Z1000"/>
  <sheetViews>
    <sheetView showGridLines="0" workbookViewId="0">
      <selection activeCell="L11" sqref="L11"/>
    </sheetView>
  </sheetViews>
  <sheetFormatPr defaultColWidth="14.42578125" defaultRowHeight="15" customHeight="1"/>
  <cols>
    <col min="1" max="1" width="2.7109375" customWidth="1"/>
    <col min="2" max="2" width="30.7109375" customWidth="1"/>
    <col min="3" max="8" width="12.7109375" customWidth="1"/>
    <col min="9" max="9" width="4.7109375" customWidth="1"/>
    <col min="10" max="11" width="12.7109375" customWidth="1"/>
    <col min="12" max="12" width="14.28515625" customWidth="1"/>
    <col min="13" max="13" width="4.7109375" customWidth="1"/>
    <col min="14" max="15" width="12.7109375" customWidth="1"/>
    <col min="16" max="16" width="23.42578125" customWidth="1"/>
    <col min="17" max="26" width="10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3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3" t="s">
        <v>14</v>
      </c>
      <c r="C4" s="12" t="str">
        <f ca="1">+Master!$D$8</f>
        <v>Base</v>
      </c>
      <c r="D4" s="12">
        <f>+Master!$C$8</f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 t="s">
        <v>15</v>
      </c>
      <c r="B6" s="3" t="s">
        <v>16</v>
      </c>
      <c r="C6" s="83" t="s">
        <v>17</v>
      </c>
      <c r="D6" s="84"/>
      <c r="E6" s="84"/>
      <c r="F6" s="84"/>
      <c r="G6" s="84"/>
      <c r="H6" s="84"/>
      <c r="I6" s="1"/>
      <c r="J6" s="16" t="s">
        <v>18</v>
      </c>
      <c r="K6" s="17"/>
      <c r="L6" s="17"/>
      <c r="M6" s="1"/>
      <c r="N6" s="16" t="s">
        <v>19</v>
      </c>
      <c r="O6" s="17"/>
      <c r="P6" s="17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3"/>
      <c r="C7" s="18">
        <v>44828</v>
      </c>
      <c r="D7" s="18">
        <f t="shared" ref="D7:H7" si="0">+EOMONTH(C7,12)</f>
        <v>45199</v>
      </c>
      <c r="E7" s="18">
        <f t="shared" si="0"/>
        <v>45565</v>
      </c>
      <c r="F7" s="18">
        <f t="shared" si="0"/>
        <v>45930</v>
      </c>
      <c r="G7" s="18">
        <f t="shared" si="0"/>
        <v>46295</v>
      </c>
      <c r="H7" s="18">
        <f t="shared" si="0"/>
        <v>46660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9" t="s">
        <v>20</v>
      </c>
      <c r="C8" s="20">
        <f ca="1">+'Operating Build'!F10</f>
        <v>1289950.6400000001</v>
      </c>
      <c r="D8" s="20">
        <f ca="1">+'Operating Build'!G10</f>
        <v>1292804.9728000001</v>
      </c>
      <c r="E8" s="20">
        <f ca="1">+'Operating Build'!H10</f>
        <v>1413978.5679360002</v>
      </c>
      <c r="F8" s="20">
        <f ca="1">+'Operating Build'!I10</f>
        <v>1546975.9543603202</v>
      </c>
      <c r="G8" s="20">
        <f ca="1">+'Operating Build'!J10</f>
        <v>1692998.6238173191</v>
      </c>
      <c r="H8" s="20">
        <f ca="1">+'Operating Build'!K10</f>
        <v>1853374.858003858</v>
      </c>
      <c r="I8" s="1"/>
      <c r="J8" s="85" t="s">
        <v>21</v>
      </c>
      <c r="K8" s="86"/>
      <c r="L8" s="87"/>
      <c r="M8" s="1"/>
      <c r="N8" s="85" t="s">
        <v>21</v>
      </c>
      <c r="O8" s="86"/>
      <c r="P8" s="87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21" t="s">
        <v>22</v>
      </c>
      <c r="C9" s="15">
        <f ca="1">+'Operating Build'!F11</f>
        <v>0.13951424800665735</v>
      </c>
      <c r="D9" s="15">
        <f ca="1">+'Operating Build'!G11</f>
        <v>2.2127457528142713E-3</v>
      </c>
      <c r="E9" s="15">
        <f ca="1">+'Operating Build'!H11</f>
        <v>9.372921491287145E-2</v>
      </c>
      <c r="F9" s="15">
        <f ca="1">+'Operating Build'!I11</f>
        <v>9.40589832407841E-2</v>
      </c>
      <c r="G9" s="15">
        <f ca="1">+'Operating Build'!J11</f>
        <v>9.4392333019409858E-2</v>
      </c>
      <c r="H9" s="15">
        <f ca="1">+'Operating Build'!K11</f>
        <v>9.4729098966972458E-2</v>
      </c>
      <c r="I9" s="1"/>
      <c r="J9" s="22" t="s">
        <v>23</v>
      </c>
      <c r="K9" s="23"/>
      <c r="L9" s="24">
        <f ca="1">+H12</f>
        <v>324098.00790390838</v>
      </c>
      <c r="M9" s="1"/>
      <c r="N9" s="22" t="s">
        <v>24</v>
      </c>
      <c r="O9" s="23"/>
      <c r="P9" s="24">
        <f ca="1">+H23</f>
        <v>248964.98401942072</v>
      </c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9" t="s">
        <v>25</v>
      </c>
      <c r="C10" s="25">
        <f ca="1">+'Operating Build'!F15+'Operating Build'!F22</f>
        <v>-1196245.9916000001</v>
      </c>
      <c r="D10" s="25">
        <f ca="1">+'Operating Build'!G15+'Operating Build'!G22</f>
        <v>-1194693.055072</v>
      </c>
      <c r="E10" s="25">
        <f ca="1">+'Operating Build'!H15+'Operating Build'!H22</f>
        <v>-1259771.5029926402</v>
      </c>
      <c r="F10" s="25">
        <f ca="1">+'Operating Build'!I15+'Operating Build'!I22</f>
        <v>-1377748.645587917</v>
      </c>
      <c r="G10" s="25">
        <f ca="1">+'Operating Build'!J15+'Operating Build'!J22</f>
        <v>-1507227.4102735203</v>
      </c>
      <c r="H10" s="25">
        <f ca="1">+'Operating Build'!K15+'Operating Build'!K22</f>
        <v>-1649375.5408985997</v>
      </c>
      <c r="I10" s="1"/>
      <c r="J10" s="26" t="s">
        <v>26</v>
      </c>
      <c r="K10" s="1"/>
      <c r="L10" s="75">
        <v>13</v>
      </c>
      <c r="M10" s="1"/>
      <c r="N10" s="26" t="s">
        <v>27</v>
      </c>
      <c r="O10" s="1"/>
      <c r="P10" s="27">
        <v>0.03</v>
      </c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9" t="s">
        <v>28</v>
      </c>
      <c r="C11" s="25">
        <f ca="1">+'Operating Build'!F27</f>
        <v>83588.801472000021</v>
      </c>
      <c r="D11" s="25">
        <f ca="1">+'Operating Build'!G27</f>
        <v>83773.762237440009</v>
      </c>
      <c r="E11" s="25">
        <f ca="1">+'Operating Build'!H27</f>
        <v>91625.811202252822</v>
      </c>
      <c r="F11" s="25">
        <f ca="1">+'Operating Build'!I27</f>
        <v>100244.04184254874</v>
      </c>
      <c r="G11" s="25">
        <f ca="1">+'Operating Build'!J27</f>
        <v>109706.31082336228</v>
      </c>
      <c r="H11" s="25">
        <f ca="1">+'Operating Build'!K27</f>
        <v>120098.69079865</v>
      </c>
      <c r="I11" s="1"/>
      <c r="J11" s="28" t="s">
        <v>29</v>
      </c>
      <c r="K11" s="1"/>
      <c r="L11" s="29">
        <f ca="1">+L9*L10</f>
        <v>4213274.1027508089</v>
      </c>
      <c r="M11" s="1"/>
      <c r="N11" s="28" t="s">
        <v>29</v>
      </c>
      <c r="O11" s="1"/>
      <c r="P11" s="29">
        <f ca="1">+(P9*(1+P10))/(C47-P10)</f>
        <v>4780528.5189460553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9" t="s">
        <v>30</v>
      </c>
      <c r="C12" s="30">
        <f t="shared" ref="C12:H12" ca="1" si="1">+C8+C10+C11</f>
        <v>177293.44987200008</v>
      </c>
      <c r="D12" s="30">
        <f t="shared" ca="1" si="1"/>
        <v>181885.6799654401</v>
      </c>
      <c r="E12" s="30">
        <f t="shared" ca="1" si="1"/>
        <v>245832.87614561274</v>
      </c>
      <c r="F12" s="30">
        <f t="shared" ca="1" si="1"/>
        <v>269471.35061495204</v>
      </c>
      <c r="G12" s="30">
        <f t="shared" ca="1" si="1"/>
        <v>295477.52436716104</v>
      </c>
      <c r="H12" s="30">
        <f t="shared" ca="1" si="1"/>
        <v>324098.00790390838</v>
      </c>
      <c r="I12" s="1"/>
      <c r="J12" s="26" t="s">
        <v>31</v>
      </c>
      <c r="K12" s="1"/>
      <c r="L12" s="31">
        <f>+H26</f>
        <v>4.4486111111111111</v>
      </c>
      <c r="M12" s="1"/>
      <c r="N12" s="26" t="s">
        <v>31</v>
      </c>
      <c r="O12" s="1"/>
      <c r="P12" s="31">
        <f>+H26</f>
        <v>4.4486111111111111</v>
      </c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21" t="s">
        <v>32</v>
      </c>
      <c r="C13" s="15">
        <f t="shared" ref="C13:H13" ca="1" si="2">+C12/C8</f>
        <v>0.137442041869137</v>
      </c>
      <c r="D13" s="15">
        <f t="shared" ca="1" si="2"/>
        <v>0.14069073355396061</v>
      </c>
      <c r="E13" s="15">
        <f t="shared" ca="1" si="2"/>
        <v>0.17385898324078394</v>
      </c>
      <c r="F13" s="15">
        <f t="shared" ca="1" si="2"/>
        <v>0.1741923330194097</v>
      </c>
      <c r="G13" s="15">
        <f t="shared" ca="1" si="2"/>
        <v>0.17452909896697244</v>
      </c>
      <c r="H13" s="15">
        <f t="shared" ca="1" si="2"/>
        <v>0.17486910783551468</v>
      </c>
      <c r="I13" s="1"/>
      <c r="J13" s="32" t="s">
        <v>33</v>
      </c>
      <c r="K13" s="17"/>
      <c r="L13" s="33">
        <f ca="1">+L11/(1+$C$47)^L12</f>
        <v>2947320.8179066475</v>
      </c>
      <c r="M13" s="1"/>
      <c r="N13" s="32" t="s">
        <v>33</v>
      </c>
      <c r="O13" s="17"/>
      <c r="P13" s="33">
        <f ca="1">+P11/(1+$C$47)^P12</f>
        <v>3344133.5362650794</v>
      </c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9" t="s">
        <v>34</v>
      </c>
      <c r="C14" s="25">
        <f t="shared" ref="C14:H14" ca="1" si="3">+-C11</f>
        <v>-83588.801472000021</v>
      </c>
      <c r="D14" s="25">
        <f t="shared" ca="1" si="3"/>
        <v>-83773.762237440009</v>
      </c>
      <c r="E14" s="25">
        <f t="shared" ca="1" si="3"/>
        <v>-91625.811202252822</v>
      </c>
      <c r="F14" s="25">
        <f t="shared" ca="1" si="3"/>
        <v>-100244.04184254874</v>
      </c>
      <c r="G14" s="25">
        <f t="shared" ca="1" si="3"/>
        <v>-109706.31082336228</v>
      </c>
      <c r="H14" s="25">
        <f t="shared" ca="1" si="3"/>
        <v>-120098.69079865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9" t="s">
        <v>35</v>
      </c>
      <c r="C15" s="30">
        <f t="shared" ref="C15:H15" ca="1" si="4">+C12+C14</f>
        <v>93704.648400000064</v>
      </c>
      <c r="D15" s="30">
        <f t="shared" ca="1" si="4"/>
        <v>98111.917728000088</v>
      </c>
      <c r="E15" s="30">
        <f t="shared" ca="1" si="4"/>
        <v>154207.06494335993</v>
      </c>
      <c r="F15" s="30">
        <f t="shared" ca="1" si="4"/>
        <v>169227.30877240328</v>
      </c>
      <c r="G15" s="30">
        <f t="shared" ca="1" si="4"/>
        <v>185771.21354379877</v>
      </c>
      <c r="H15" s="30">
        <f t="shared" ca="1" si="4"/>
        <v>203999.31710525838</v>
      </c>
      <c r="I15" s="1"/>
      <c r="J15" s="88" t="s">
        <v>36</v>
      </c>
      <c r="K15" s="89"/>
      <c r="L15" s="90"/>
      <c r="M15" s="1"/>
      <c r="N15" s="88" t="s">
        <v>36</v>
      </c>
      <c r="O15" s="89"/>
      <c r="P15" s="90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21" t="s">
        <v>32</v>
      </c>
      <c r="C16" s="15">
        <f t="shared" ref="C16:H16" ca="1" si="5">+C15/C8</f>
        <v>7.2642041869136989E-2</v>
      </c>
      <c r="D16" s="15">
        <f t="shared" ca="1" si="5"/>
        <v>7.5890733553960601E-2</v>
      </c>
      <c r="E16" s="15">
        <f t="shared" ca="1" si="5"/>
        <v>0.10905898324078395</v>
      </c>
      <c r="F16" s="15">
        <f t="shared" ca="1" si="5"/>
        <v>0.10939233301940969</v>
      </c>
      <c r="G16" s="15">
        <f t="shared" ca="1" si="5"/>
        <v>0.10972909896697246</v>
      </c>
      <c r="H16" s="15">
        <f t="shared" ca="1" si="5"/>
        <v>0.1100691078355147</v>
      </c>
      <c r="I16" s="1"/>
      <c r="J16" s="26" t="s">
        <v>37</v>
      </c>
      <c r="K16" s="1"/>
      <c r="L16" s="34">
        <f ca="1">+SUM($D$28:$H$28)</f>
        <v>807056.52007179358</v>
      </c>
      <c r="M16" s="1"/>
      <c r="N16" s="26" t="s">
        <v>37</v>
      </c>
      <c r="O16" s="1"/>
      <c r="P16" s="34">
        <f ca="1">+SUM($D$28:$H$28)</f>
        <v>807056.52007179358</v>
      </c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9" t="s">
        <v>38</v>
      </c>
      <c r="C17" s="25">
        <f t="shared" ref="C17:H17" ca="1" si="6">+C15*-C18</f>
        <v>-5622.2789040000034</v>
      </c>
      <c r="D17" s="25">
        <f t="shared" ca="1" si="6"/>
        <v>-8830.0725955200069</v>
      </c>
      <c r="E17" s="25">
        <f t="shared" ca="1" si="6"/>
        <v>-23131.059741503988</v>
      </c>
      <c r="F17" s="25">
        <f t="shared" ca="1" si="6"/>
        <v>-25384.09631586049</v>
      </c>
      <c r="G17" s="25">
        <f t="shared" ca="1" si="6"/>
        <v>-27865.682031569817</v>
      </c>
      <c r="H17" s="25">
        <f t="shared" ca="1" si="6"/>
        <v>-30599.897565788757</v>
      </c>
      <c r="I17" s="1"/>
      <c r="J17" s="26" t="s">
        <v>39</v>
      </c>
      <c r="K17" s="1"/>
      <c r="L17" s="34">
        <f ca="1">+L13</f>
        <v>2947320.8179066475</v>
      </c>
      <c r="M17" s="1"/>
      <c r="N17" s="26" t="s">
        <v>39</v>
      </c>
      <c r="O17" s="1"/>
      <c r="P17" s="34">
        <f ca="1">+P13</f>
        <v>3344133.5362650794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21" t="s">
        <v>40</v>
      </c>
      <c r="C18" s="15">
        <f ca="1">+Assumptions!F57</f>
        <v>0.06</v>
      </c>
      <c r="D18" s="15">
        <f ca="1">+Assumptions!G57</f>
        <v>0.09</v>
      </c>
      <c r="E18" s="15">
        <f ca="1">+Assumptions!H57</f>
        <v>0.15</v>
      </c>
      <c r="F18" s="15">
        <f ca="1">+Assumptions!I57</f>
        <v>0.15</v>
      </c>
      <c r="G18" s="15">
        <f ca="1">+Assumptions!J57</f>
        <v>0.15</v>
      </c>
      <c r="H18" s="15">
        <f ca="1">+Assumptions!K57</f>
        <v>0.15</v>
      </c>
      <c r="I18" s="1"/>
      <c r="J18" s="28" t="s">
        <v>41</v>
      </c>
      <c r="K18" s="1"/>
      <c r="L18" s="29">
        <f ca="1">+L16+L17</f>
        <v>3754377.3379784413</v>
      </c>
      <c r="M18" s="1"/>
      <c r="N18" s="28" t="s">
        <v>41</v>
      </c>
      <c r="O18" s="1"/>
      <c r="P18" s="29">
        <f ca="1">+P16+P17</f>
        <v>4151190.0563368732</v>
      </c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9" t="s">
        <v>42</v>
      </c>
      <c r="C19" s="30">
        <f t="shared" ref="C19:H19" ca="1" si="7">+C15+C17</f>
        <v>88082.369496000058</v>
      </c>
      <c r="D19" s="30">
        <f t="shared" ca="1" si="7"/>
        <v>89281.845132480084</v>
      </c>
      <c r="E19" s="30">
        <f t="shared" ca="1" si="7"/>
        <v>131076.00520185594</v>
      </c>
      <c r="F19" s="30">
        <f t="shared" ca="1" si="7"/>
        <v>143843.21245654279</v>
      </c>
      <c r="G19" s="30">
        <f t="shared" ca="1" si="7"/>
        <v>157905.53151222895</v>
      </c>
      <c r="H19" s="30">
        <f t="shared" ca="1" si="7"/>
        <v>173399.41953946961</v>
      </c>
      <c r="I19" s="1"/>
      <c r="J19" s="26" t="s">
        <v>43</v>
      </c>
      <c r="K19" s="1"/>
      <c r="L19" s="35">
        <f ca="1">+L16/L18</f>
        <v>0.2149641464931589</v>
      </c>
      <c r="M19" s="1"/>
      <c r="N19" s="26" t="s">
        <v>43</v>
      </c>
      <c r="O19" s="1"/>
      <c r="P19" s="35">
        <f ca="1">+P16/P18</f>
        <v>0.1944156998641404</v>
      </c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9" t="s">
        <v>28</v>
      </c>
      <c r="C20" s="25">
        <f t="shared" ref="C20:H20" ca="1" si="8">+C11</f>
        <v>83588.801472000021</v>
      </c>
      <c r="D20" s="25">
        <f t="shared" ca="1" si="8"/>
        <v>83773.762237440009</v>
      </c>
      <c r="E20" s="25">
        <f t="shared" ca="1" si="8"/>
        <v>91625.811202252822</v>
      </c>
      <c r="F20" s="25">
        <f t="shared" ca="1" si="8"/>
        <v>100244.04184254874</v>
      </c>
      <c r="G20" s="25">
        <f t="shared" ca="1" si="8"/>
        <v>109706.31082336228</v>
      </c>
      <c r="H20" s="25">
        <f t="shared" ca="1" si="8"/>
        <v>120098.69079865</v>
      </c>
      <c r="I20" s="1"/>
      <c r="J20" s="26" t="s">
        <v>44</v>
      </c>
      <c r="K20" s="1"/>
      <c r="L20" s="35">
        <f ca="1">+L17/L18</f>
        <v>0.78503585350684102</v>
      </c>
      <c r="M20" s="1"/>
      <c r="N20" s="26" t="s">
        <v>44</v>
      </c>
      <c r="O20" s="1"/>
      <c r="P20" s="35">
        <f ca="1">+P17/P18</f>
        <v>0.80558430013585958</v>
      </c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9" t="s">
        <v>45</v>
      </c>
      <c r="C21" s="25">
        <f ca="1">+'Operating Build'!F38</f>
        <v>-30958.815360000004</v>
      </c>
      <c r="D21" s="25">
        <f ca="1">+'Operating Build'!G38</f>
        <v>-31027.319347200002</v>
      </c>
      <c r="E21" s="25">
        <f ca="1">+'Operating Build'!H38</f>
        <v>-33935.485630464005</v>
      </c>
      <c r="F21" s="25">
        <f ca="1">+'Operating Build'!I38</f>
        <v>-37127.422904647683</v>
      </c>
      <c r="G21" s="25">
        <f ca="1">+'Operating Build'!J38</f>
        <v>-40631.966971615657</v>
      </c>
      <c r="H21" s="25">
        <f ca="1">+'Operating Build'!K38</f>
        <v>-44480.99659209259</v>
      </c>
      <c r="I21" s="1"/>
      <c r="J21" s="36" t="s">
        <v>41</v>
      </c>
      <c r="K21" s="17"/>
      <c r="L21" s="37">
        <f ca="1">+L19+L20</f>
        <v>0.99999999999999989</v>
      </c>
      <c r="M21" s="1"/>
      <c r="N21" s="36" t="s">
        <v>41</v>
      </c>
      <c r="O21" s="17"/>
      <c r="P21" s="37">
        <f ca="1">+P19+P20</f>
        <v>1</v>
      </c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9" t="s">
        <v>46</v>
      </c>
      <c r="C22" s="25">
        <f ca="1">+'Operating Build'!F51</f>
        <v>-125.99982145424656</v>
      </c>
      <c r="D22" s="25">
        <f ca="1">+'Operating Build'!G51</f>
        <v>-0.60893810415348071</v>
      </c>
      <c r="E22" s="25">
        <f ca="1">+'Operating Build'!H51</f>
        <v>-54.423582160215688</v>
      </c>
      <c r="F22" s="25">
        <f ca="1">+'Operating Build'!I51</f>
        <v>-43.239536957078371</v>
      </c>
      <c r="G22" s="25">
        <f ca="1">+'Operating Build'!J51</f>
        <v>-47.469213867995563</v>
      </c>
      <c r="H22" s="25">
        <f ca="1">+'Operating Build'!K51</f>
        <v>-52.129726606307599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9" t="s">
        <v>47</v>
      </c>
      <c r="C23" s="30">
        <f t="shared" ref="C23:H23" ca="1" si="9">+SUM(C19:C22)</f>
        <v>140586.35578654581</v>
      </c>
      <c r="D23" s="30">
        <f t="shared" ca="1" si="9"/>
        <v>142027.67908461593</v>
      </c>
      <c r="E23" s="30">
        <f t="shared" ca="1" si="9"/>
        <v>188711.90719148456</v>
      </c>
      <c r="F23" s="30">
        <f t="shared" ca="1" si="9"/>
        <v>206916.59185748675</v>
      </c>
      <c r="G23" s="30">
        <f t="shared" ca="1" si="9"/>
        <v>226932.40615010756</v>
      </c>
      <c r="H23" s="30">
        <f t="shared" ca="1" si="9"/>
        <v>248964.98401942072</v>
      </c>
      <c r="I23" s="1"/>
      <c r="J23" s="88" t="s">
        <v>48</v>
      </c>
      <c r="K23" s="89"/>
      <c r="L23" s="90"/>
      <c r="M23" s="1"/>
      <c r="N23" s="88" t="s">
        <v>48</v>
      </c>
      <c r="O23" s="89"/>
      <c r="P23" s="90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9" t="s">
        <v>49</v>
      </c>
      <c r="C24" s="25"/>
      <c r="D24" s="25">
        <f ca="1">+(1-YEARFRAC(Master!C5,DCF!D7))*-D23</f>
        <v>-14597.289239252188</v>
      </c>
      <c r="E24" s="25"/>
      <c r="F24" s="25"/>
      <c r="G24" s="25"/>
      <c r="H24" s="25"/>
      <c r="I24" s="1"/>
      <c r="J24" s="38" t="s">
        <v>50</v>
      </c>
      <c r="K24" s="2"/>
      <c r="L24" s="33">
        <f ca="1">+L18</f>
        <v>3754377.3379784413</v>
      </c>
      <c r="M24" s="1"/>
      <c r="N24" s="38" t="s">
        <v>50</v>
      </c>
      <c r="O24" s="2"/>
      <c r="P24" s="33">
        <f ca="1">+P18</f>
        <v>4151190.0563368732</v>
      </c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9" t="s">
        <v>51</v>
      </c>
      <c r="C25" s="30">
        <f t="shared" ref="C25:H25" ca="1" si="10">+C23+C24</f>
        <v>140586.35578654581</v>
      </c>
      <c r="D25" s="30">
        <f t="shared" ca="1" si="10"/>
        <v>127430.38984536374</v>
      </c>
      <c r="E25" s="30">
        <f t="shared" ca="1" si="10"/>
        <v>188711.90719148456</v>
      </c>
      <c r="F25" s="30">
        <f t="shared" ca="1" si="10"/>
        <v>206916.59185748675</v>
      </c>
      <c r="G25" s="30">
        <f t="shared" ca="1" si="10"/>
        <v>226932.40615010756</v>
      </c>
      <c r="H25" s="30">
        <f t="shared" ca="1" si="10"/>
        <v>248964.98401942072</v>
      </c>
      <c r="I25" s="1"/>
      <c r="J25" s="39" t="s">
        <v>52</v>
      </c>
      <c r="K25" s="1"/>
      <c r="L25" s="40">
        <f>+-$C$44*1000</f>
        <v>-620300</v>
      </c>
      <c r="M25" s="1"/>
      <c r="N25" s="39" t="s">
        <v>52</v>
      </c>
      <c r="O25" s="1"/>
      <c r="P25" s="40">
        <f>+-$C$44*1000</f>
        <v>-620300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9" t="s">
        <v>53</v>
      </c>
      <c r="C26" s="41"/>
      <c r="D26" s="41">
        <f>+YEARFRAC(Master!C5,DCF!D7)/2</f>
        <v>0.44861111111111113</v>
      </c>
      <c r="E26" s="41">
        <f t="shared" ref="E26:H26" si="11">+D26+1</f>
        <v>1.4486111111111111</v>
      </c>
      <c r="F26" s="41">
        <f t="shared" si="11"/>
        <v>2.4486111111111111</v>
      </c>
      <c r="G26" s="41">
        <f t="shared" si="11"/>
        <v>3.4486111111111111</v>
      </c>
      <c r="H26" s="41">
        <f t="shared" si="11"/>
        <v>4.4486111111111111</v>
      </c>
      <c r="I26" s="1"/>
      <c r="J26" s="39" t="s">
        <v>54</v>
      </c>
      <c r="K26" s="1"/>
      <c r="L26" s="42">
        <v>349100</v>
      </c>
      <c r="M26" s="1"/>
      <c r="N26" s="39" t="s">
        <v>54</v>
      </c>
      <c r="O26" s="1"/>
      <c r="P26" s="42">
        <v>349100</v>
      </c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9" t="s">
        <v>55</v>
      </c>
      <c r="C27" s="41"/>
      <c r="D27" s="41">
        <f t="shared" ref="D27:H27" ca="1" si="12">1/(1+$C$47)^D26</f>
        <v>0.9646059776593553</v>
      </c>
      <c r="E27" s="41">
        <f t="shared" ca="1" si="12"/>
        <v>0.89015243897857987</v>
      </c>
      <c r="F27" s="41">
        <f t="shared" ca="1" si="12"/>
        <v>0.82144562958465861</v>
      </c>
      <c r="G27" s="41">
        <f t="shared" ca="1" si="12"/>
        <v>0.75804198563789327</v>
      </c>
      <c r="H27" s="41">
        <f t="shared" ca="1" si="12"/>
        <v>0.6995321799695795</v>
      </c>
      <c r="I27" s="1"/>
      <c r="J27" s="38" t="s">
        <v>56</v>
      </c>
      <c r="K27" s="2"/>
      <c r="L27" s="29">
        <f ca="1">+L24+L25+L26</f>
        <v>3483177.3379784413</v>
      </c>
      <c r="M27" s="1"/>
      <c r="N27" s="38" t="s">
        <v>56</v>
      </c>
      <c r="O27" s="2"/>
      <c r="P27" s="29">
        <f ca="1">+P24+P25+P26</f>
        <v>3879990.0563368732</v>
      </c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9" t="s">
        <v>57</v>
      </c>
      <c r="C28" s="30"/>
      <c r="D28" s="30">
        <f t="shared" ref="D28:H28" ca="1" si="13">+D25*D27</f>
        <v>122920.11578029986</v>
      </c>
      <c r="E28" s="30">
        <f t="shared" ca="1" si="13"/>
        <v>167982.36445079939</v>
      </c>
      <c r="F28" s="30">
        <f t="shared" ca="1" si="13"/>
        <v>169970.73006988506</v>
      </c>
      <c r="G28" s="30">
        <f t="shared" ca="1" si="13"/>
        <v>172024.29176361239</v>
      </c>
      <c r="H28" s="30">
        <f t="shared" ca="1" si="13"/>
        <v>174159.01800719689</v>
      </c>
      <c r="I28" s="1"/>
      <c r="J28" s="39" t="s">
        <v>58</v>
      </c>
      <c r="K28" s="1"/>
      <c r="L28" s="43">
        <f>44300</f>
        <v>44300</v>
      </c>
      <c r="M28" s="1"/>
      <c r="N28" s="39" t="s">
        <v>58</v>
      </c>
      <c r="O28" s="1"/>
      <c r="P28" s="44">
        <f>44.3*1000</f>
        <v>44300</v>
      </c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28" t="s">
        <v>59</v>
      </c>
      <c r="K29" s="2"/>
      <c r="L29" s="45">
        <f ca="1">(L27/(L28))</f>
        <v>78.627027945337275</v>
      </c>
      <c r="M29" s="1"/>
      <c r="N29" s="28" t="s">
        <v>59</v>
      </c>
      <c r="O29" s="2"/>
      <c r="P29" s="45">
        <f ca="1">+(P27)/P28</f>
        <v>87.584425650945221</v>
      </c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46"/>
      <c r="E30" s="1"/>
      <c r="F30" s="1"/>
      <c r="G30" s="1"/>
      <c r="H30" s="1"/>
      <c r="I30" s="1"/>
      <c r="J30" s="47" t="s">
        <v>10</v>
      </c>
      <c r="K30" s="17"/>
      <c r="L30" s="48">
        <f ca="1">+L29/Master!$C$6-1</f>
        <v>0.60528844314694319</v>
      </c>
      <c r="M30" s="1"/>
      <c r="N30" s="47" t="s">
        <v>10</v>
      </c>
      <c r="O30" s="17"/>
      <c r="P30" s="48">
        <f ca="1">+P29/Master!$C$6-1</f>
        <v>0.78816712231411246</v>
      </c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15</v>
      </c>
      <c r="B32" s="16" t="s">
        <v>60</v>
      </c>
      <c r="C32" s="1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9" t="s">
        <v>61</v>
      </c>
      <c r="C34" s="49">
        <v>5.5E-2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9" t="s">
        <v>62</v>
      </c>
      <c r="C35" s="50">
        <v>1.1000000000000001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9" t="s">
        <v>63</v>
      </c>
      <c r="C36" s="49">
        <v>4.02E-2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51" t="s">
        <v>64</v>
      </c>
      <c r="C37" s="52">
        <f>+C36+(C34*C35)</f>
        <v>0.10070000000000001</v>
      </c>
      <c r="D37" s="1"/>
      <c r="E37" s="1"/>
      <c r="F37" s="1"/>
      <c r="G37" s="1"/>
      <c r="H37" s="1"/>
      <c r="I37" s="1"/>
      <c r="J37" s="5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9" t="s">
        <v>65</v>
      </c>
      <c r="C39" s="49">
        <v>2.5499999999999998E-2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9" t="s">
        <v>66</v>
      </c>
      <c r="C40" s="54">
        <f ca="1">+C18</f>
        <v>0.06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51" t="s">
        <v>67</v>
      </c>
      <c r="C41" s="52">
        <f ca="1">+C39*(1-C40)</f>
        <v>2.3969999999999998E-2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9" t="s">
        <v>68</v>
      </c>
      <c r="C43" s="55">
        <f>+(L28*Master!C6)/1000</f>
        <v>2169.8139999999999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9" t="s">
        <v>69</v>
      </c>
      <c r="C44" s="56">
        <v>620.29999999999995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9" t="s">
        <v>70</v>
      </c>
      <c r="C45" s="54">
        <f>+C43/(C43+C44)</f>
        <v>0.77767933496624164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9" t="s">
        <v>71</v>
      </c>
      <c r="C46" s="54">
        <f>+C44/(C43+C44)</f>
        <v>0.2223206650337585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51" t="s">
        <v>72</v>
      </c>
      <c r="C47" s="52">
        <f ca="1">+(C37*C45)+(C41*C46)</f>
        <v>8.3641335371959738E-2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 t="s">
        <v>15</v>
      </c>
      <c r="B49" s="16" t="s">
        <v>73</v>
      </c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" t="s">
        <v>18</v>
      </c>
      <c r="C51" s="1"/>
      <c r="D51" s="80" t="s">
        <v>74</v>
      </c>
      <c r="E51" s="81"/>
      <c r="F51" s="81"/>
      <c r="G51" s="81"/>
      <c r="H51" s="8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57"/>
      <c r="C52" s="58">
        <f ca="1">+L29</f>
        <v>78.627027945337275</v>
      </c>
      <c r="D52" s="59">
        <v>8.5263166343113928E-2</v>
      </c>
      <c r="E52" s="59">
        <v>9.0263166343113932E-2</v>
      </c>
      <c r="F52" s="59">
        <v>9.5263166343113936E-2</v>
      </c>
      <c r="G52" s="59">
        <v>0.10026316634311394</v>
      </c>
      <c r="H52" s="59">
        <v>0.10526316634311395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82" t="s">
        <v>75</v>
      </c>
      <c r="C53" s="60">
        <v>12</v>
      </c>
      <c r="D53" s="61">
        <v>142.84461185135956</v>
      </c>
      <c r="E53" s="61">
        <v>140.23759101016182</v>
      </c>
      <c r="F53" s="61">
        <v>137.69328224350437</v>
      </c>
      <c r="G53" s="61">
        <v>135.2098796580197</v>
      </c>
      <c r="H53" s="61">
        <v>132.78563750856628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81"/>
      <c r="C54" s="60">
        <v>13</v>
      </c>
      <c r="D54" s="61">
        <v>151.78210678777484</v>
      </c>
      <c r="E54" s="61">
        <v>148.99211553600639</v>
      </c>
      <c r="F54" s="61">
        <v>146.26939381182515</v>
      </c>
      <c r="G54" s="61">
        <v>143.61200217021161</v>
      </c>
      <c r="H54" s="61">
        <v>141.01806580977043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81"/>
      <c r="C55" s="60">
        <v>14</v>
      </c>
      <c r="D55" s="61">
        <v>160.71960172419008</v>
      </c>
      <c r="E55" s="61">
        <v>157.74664006185102</v>
      </c>
      <c r="F55" s="61">
        <v>154.84550538014591</v>
      </c>
      <c r="G55" s="61">
        <v>152.01412468240352</v>
      </c>
      <c r="H55" s="61">
        <v>149.25049411097453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81"/>
      <c r="C56" s="60">
        <v>15</v>
      </c>
      <c r="D56" s="61">
        <v>169.65709666060533</v>
      </c>
      <c r="E56" s="61">
        <v>166.50116458769563</v>
      </c>
      <c r="F56" s="61">
        <v>163.42161694846669</v>
      </c>
      <c r="G56" s="61">
        <v>160.4162471945954</v>
      </c>
      <c r="H56" s="61">
        <v>157.48292241217865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81"/>
      <c r="C57" s="60">
        <v>16</v>
      </c>
      <c r="D57" s="61">
        <v>178.59459159702058</v>
      </c>
      <c r="E57" s="61">
        <v>175.25568911354026</v>
      </c>
      <c r="F57" s="61">
        <v>171.99772851678748</v>
      </c>
      <c r="G57" s="61">
        <v>168.81836970678731</v>
      </c>
      <c r="H57" s="61">
        <v>165.71535071338278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" t="s">
        <v>76</v>
      </c>
      <c r="C59" s="1"/>
      <c r="D59" s="80" t="s">
        <v>74</v>
      </c>
      <c r="E59" s="81"/>
      <c r="F59" s="81"/>
      <c r="G59" s="81"/>
      <c r="H59" s="8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57"/>
      <c r="C60" s="58">
        <f ca="1">+P29</f>
        <v>87.584425650945221</v>
      </c>
      <c r="D60" s="59">
        <v>8.5263166343113928E-2</v>
      </c>
      <c r="E60" s="59">
        <v>9.0263166343113932E-2</v>
      </c>
      <c r="F60" s="59">
        <v>9.5263166343113936E-2</v>
      </c>
      <c r="G60" s="59">
        <v>0.10026316634311394</v>
      </c>
      <c r="H60" s="59">
        <v>0.10526316634311395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82" t="s">
        <v>27</v>
      </c>
      <c r="C61" s="62">
        <v>2.5000000000000001E-2</v>
      </c>
      <c r="D61" s="61">
        <v>158.2802964986322</v>
      </c>
      <c r="E61" s="61">
        <v>146.15039682998034</v>
      </c>
      <c r="F61" s="61">
        <v>135.74998121973178</v>
      </c>
      <c r="G61" s="61">
        <v>126.73429006753157</v>
      </c>
      <c r="H61" s="61">
        <v>118.84447295798812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81"/>
      <c r="C62" s="62">
        <v>3.0000000000000002E-2</v>
      </c>
      <c r="D62" s="61">
        <v>170.03303609187753</v>
      </c>
      <c r="E62" s="61">
        <v>155.94348736038273</v>
      </c>
      <c r="F62" s="61">
        <v>144.01585938945422</v>
      </c>
      <c r="G62" s="61">
        <v>133.78854798554673</v>
      </c>
      <c r="H62" s="61">
        <v>124.92261483058263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81"/>
      <c r="C63" s="62">
        <f>0.035</f>
        <v>3.5000000000000003E-2</v>
      </c>
      <c r="D63" s="61">
        <v>184.12401667714809</v>
      </c>
      <c r="E63" s="61">
        <v>167.50866066823579</v>
      </c>
      <c r="F63" s="61">
        <v>153.65336780552983</v>
      </c>
      <c r="G63" s="61">
        <v>141.92370012204466</v>
      </c>
      <c r="H63" s="61">
        <v>131.86581049863426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81"/>
      <c r="C64" s="62">
        <v>0.04</v>
      </c>
      <c r="D64" s="61">
        <v>201.32812029902982</v>
      </c>
      <c r="E64" s="61">
        <v>181.37475812179534</v>
      </c>
      <c r="F64" s="61">
        <v>165.03480604933895</v>
      </c>
      <c r="G64" s="61">
        <v>151.40878997840611</v>
      </c>
      <c r="H64" s="61">
        <v>139.87288278455463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81"/>
      <c r="C65" s="62">
        <v>4.4999999999999998E-2</v>
      </c>
      <c r="D65" s="61">
        <v>222.80513764937282</v>
      </c>
      <c r="E65" s="61">
        <v>198.30429513865201</v>
      </c>
      <c r="F65" s="61">
        <v>178.68061382492712</v>
      </c>
      <c r="G65" s="61">
        <v>162.61022916543584</v>
      </c>
      <c r="H65" s="61">
        <v>149.20863936833135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J8:L8"/>
    <mergeCell ref="N8:P8"/>
    <mergeCell ref="J15:L15"/>
    <mergeCell ref="N15:P15"/>
    <mergeCell ref="J23:L23"/>
    <mergeCell ref="N23:P23"/>
    <mergeCell ref="D51:H51"/>
    <mergeCell ref="B53:B57"/>
    <mergeCell ref="D59:H59"/>
    <mergeCell ref="B61:B65"/>
    <mergeCell ref="C6:H6"/>
  </mergeCells>
  <pageMargins left="0.7" right="0.7" top="0.75" bottom="0.75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ACC00"/>
  </sheetPr>
  <dimension ref="A1:Z1000"/>
  <sheetViews>
    <sheetView showGridLines="0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O20" sqref="O20"/>
    </sheetView>
  </sheetViews>
  <sheetFormatPr defaultColWidth="14.42578125" defaultRowHeight="15" customHeight="1" outlineLevelCol="1"/>
  <cols>
    <col min="1" max="1" width="2.7109375" customWidth="1"/>
    <col min="2" max="2" width="35.7109375" customWidth="1"/>
    <col min="3" max="3" width="12.5703125" customWidth="1" outlineLevel="1"/>
    <col min="4" max="4" width="12" customWidth="1" outlineLevel="1"/>
    <col min="5" max="5" width="14" customWidth="1" outlineLevel="1"/>
    <col min="6" max="6" width="12.85546875" customWidth="1"/>
    <col min="7" max="7" width="13" customWidth="1"/>
    <col min="8" max="8" width="15.5703125" customWidth="1"/>
    <col min="9" max="9" width="14.7109375" customWidth="1"/>
    <col min="10" max="10" width="13.42578125" customWidth="1"/>
    <col min="11" max="11" width="14" customWidth="1"/>
    <col min="12" max="26" width="10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3" t="s">
        <v>77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3" t="s">
        <v>14</v>
      </c>
      <c r="C4" s="12" t="str">
        <f ca="1">+Master!$D$8</f>
        <v>Base</v>
      </c>
      <c r="D4" s="12">
        <f>+Master!$C$8</f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 t="s">
        <v>15</v>
      </c>
      <c r="B6" s="3" t="s">
        <v>16</v>
      </c>
      <c r="C6" s="91" t="s">
        <v>78</v>
      </c>
      <c r="D6" s="92"/>
      <c r="E6" s="93"/>
      <c r="F6" s="94" t="s">
        <v>79</v>
      </c>
      <c r="G6" s="92"/>
      <c r="H6" s="92"/>
      <c r="I6" s="92"/>
      <c r="J6" s="92"/>
      <c r="K6" s="9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63">
        <v>43732</v>
      </c>
      <c r="D7" s="63">
        <f t="shared" ref="D7:E7" si="0">+EOMONTH(C7,12)</f>
        <v>44104</v>
      </c>
      <c r="E7" s="63">
        <f t="shared" si="0"/>
        <v>44469</v>
      </c>
      <c r="F7" s="18">
        <v>44828</v>
      </c>
      <c r="G7" s="18">
        <f t="shared" ref="G7:K7" si="1">+EOMONTH(F7,12)</f>
        <v>45199</v>
      </c>
      <c r="H7" s="18">
        <f t="shared" si="1"/>
        <v>45565</v>
      </c>
      <c r="I7" s="18">
        <f t="shared" si="1"/>
        <v>45930</v>
      </c>
      <c r="J7" s="18">
        <f t="shared" si="1"/>
        <v>46295</v>
      </c>
      <c r="K7" s="18">
        <f t="shared" si="1"/>
        <v>46660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9" t="s">
        <v>80</v>
      </c>
      <c r="C8" s="64">
        <v>659602</v>
      </c>
      <c r="D8" s="64">
        <v>636031</v>
      </c>
      <c r="E8" s="64">
        <v>812512</v>
      </c>
      <c r="F8" s="65">
        <f ca="1">+Assumptions!F8</f>
        <v>893763.20000000007</v>
      </c>
      <c r="G8" s="65">
        <f ca="1">+Assumptions!G8</f>
        <v>849075.04</v>
      </c>
      <c r="H8" s="65">
        <f ca="1">+Assumptions!H8</f>
        <v>917001.04320000007</v>
      </c>
      <c r="I8" s="65">
        <f ca="1">+Assumptions!I8</f>
        <v>990361.12665600015</v>
      </c>
      <c r="J8" s="65">
        <f ca="1">+Assumptions!J8</f>
        <v>1069590.0167884803</v>
      </c>
      <c r="K8" s="65">
        <f ca="1">+Assumptions!K8</f>
        <v>1155157.2181315587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9" t="s">
        <v>81</v>
      </c>
      <c r="C9" s="64">
        <v>237425</v>
      </c>
      <c r="D9" s="64">
        <v>256177</v>
      </c>
      <c r="E9" s="64">
        <v>319506</v>
      </c>
      <c r="F9" s="65">
        <f ca="1">+Assumptions!F14</f>
        <v>396187.44</v>
      </c>
      <c r="G9" s="65">
        <f ca="1">+Assumptions!G14</f>
        <v>443729.93280000007</v>
      </c>
      <c r="H9" s="65">
        <f ca="1">+Assumptions!H14</f>
        <v>496977.52473600011</v>
      </c>
      <c r="I9" s="65">
        <f ca="1">+Assumptions!I14</f>
        <v>556614.8277043202</v>
      </c>
      <c r="J9" s="65">
        <f ca="1">+Assumptions!J14</f>
        <v>623408.60702883871</v>
      </c>
      <c r="K9" s="65">
        <f ca="1">+Assumptions!K14</f>
        <v>698217.63987229939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2" t="s">
        <v>82</v>
      </c>
      <c r="C10" s="66">
        <f>+C9+C8</f>
        <v>897027</v>
      </c>
      <c r="D10" s="66">
        <f t="shared" ref="D10:K10" si="2">+D8+D9</f>
        <v>892208</v>
      </c>
      <c r="E10" s="66">
        <f t="shared" si="2"/>
        <v>1132018</v>
      </c>
      <c r="F10" s="66">
        <f t="shared" ca="1" si="2"/>
        <v>1289950.6400000001</v>
      </c>
      <c r="G10" s="66">
        <f t="shared" ca="1" si="2"/>
        <v>1292804.9728000001</v>
      </c>
      <c r="H10" s="66">
        <f t="shared" ca="1" si="2"/>
        <v>1413978.5679360002</v>
      </c>
      <c r="I10" s="66">
        <f t="shared" ca="1" si="2"/>
        <v>1546975.9543603202</v>
      </c>
      <c r="J10" s="66">
        <f t="shared" ca="1" si="2"/>
        <v>1692998.6238173191</v>
      </c>
      <c r="K10" s="66">
        <f t="shared" ca="1" si="2"/>
        <v>1853374.858003858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21" t="s">
        <v>22</v>
      </c>
      <c r="C11" s="15"/>
      <c r="D11" s="15">
        <f t="shared" ref="D11:K11" si="3">+D10/C10-1</f>
        <v>-5.372190580662517E-3</v>
      </c>
      <c r="E11" s="15">
        <f t="shared" si="3"/>
        <v>0.26878261571292783</v>
      </c>
      <c r="F11" s="15">
        <f t="shared" ca="1" si="3"/>
        <v>0.13951424800665735</v>
      </c>
      <c r="G11" s="15">
        <f t="shared" ca="1" si="3"/>
        <v>2.2127457528142713E-3</v>
      </c>
      <c r="H11" s="15">
        <f t="shared" ca="1" si="3"/>
        <v>9.372921491287145E-2</v>
      </c>
      <c r="I11" s="15">
        <f t="shared" ca="1" si="3"/>
        <v>9.40589832407841E-2</v>
      </c>
      <c r="J11" s="15">
        <f t="shared" ca="1" si="3"/>
        <v>9.4392333019409858E-2</v>
      </c>
      <c r="K11" s="15">
        <f t="shared" ca="1" si="3"/>
        <v>9.4729098966972458E-2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9" t="s">
        <v>83</v>
      </c>
      <c r="C13" s="64">
        <v>-344914</v>
      </c>
      <c r="D13" s="64">
        <v>-354004</v>
      </c>
      <c r="E13" s="64">
        <v>-422855</v>
      </c>
      <c r="F13" s="65">
        <f ca="1">+Assumptions!F20</f>
        <v>-509445.02399999998</v>
      </c>
      <c r="G13" s="65">
        <f ca="1">+Assumptions!G20</f>
        <v>-483972.77279999998</v>
      </c>
      <c r="H13" s="65">
        <f ca="1">+Assumptions!H20</f>
        <v>-476840.54246400006</v>
      </c>
      <c r="I13" s="65">
        <f ca="1">+Assumptions!I20</f>
        <v>-514987.78586112009</v>
      </c>
      <c r="J13" s="65">
        <f ca="1">+Assumptions!J20</f>
        <v>-556186.80873000983</v>
      </c>
      <c r="K13" s="65">
        <f ca="1">+Assumptions!K20</f>
        <v>-600681.75342841051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9" t="s">
        <v>84</v>
      </c>
      <c r="C14" s="64">
        <v>-115201</v>
      </c>
      <c r="D14" s="64">
        <v>-124912</v>
      </c>
      <c r="E14" s="64">
        <v>-154510</v>
      </c>
      <c r="F14" s="65">
        <f ca="1">+Assumptions!F26</f>
        <v>-190169.9712</v>
      </c>
      <c r="G14" s="65">
        <f ca="1">+Assumptions!G26</f>
        <v>-212990.36774400002</v>
      </c>
      <c r="H14" s="65">
        <f ca="1">+Assumptions!H26</f>
        <v>-238549.21187328003</v>
      </c>
      <c r="I14" s="65">
        <f ca="1">+Assumptions!I26</f>
        <v>-267175.11729807366</v>
      </c>
      <c r="J14" s="65">
        <f ca="1">+Assumptions!J26</f>
        <v>-299236.1313738426</v>
      </c>
      <c r="K14" s="65">
        <f ca="1">+Assumptions!K26</f>
        <v>-335144.46713870368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3" t="s">
        <v>85</v>
      </c>
      <c r="C15" s="66">
        <f t="shared" ref="C15:K15" si="4">+C13+C14</f>
        <v>-460115</v>
      </c>
      <c r="D15" s="66">
        <f t="shared" si="4"/>
        <v>-478916</v>
      </c>
      <c r="E15" s="66">
        <f t="shared" si="4"/>
        <v>-577365</v>
      </c>
      <c r="F15" s="66">
        <f t="shared" ca="1" si="4"/>
        <v>-699614.9952</v>
      </c>
      <c r="G15" s="66">
        <f t="shared" ca="1" si="4"/>
        <v>-696963.14054399997</v>
      </c>
      <c r="H15" s="66">
        <f t="shared" ca="1" si="4"/>
        <v>-715389.75433728006</v>
      </c>
      <c r="I15" s="66">
        <f t="shared" ca="1" si="4"/>
        <v>-782162.90315919369</v>
      </c>
      <c r="J15" s="66">
        <f t="shared" ca="1" si="4"/>
        <v>-855422.94010385242</v>
      </c>
      <c r="K15" s="66">
        <f t="shared" ca="1" si="4"/>
        <v>-935826.22056711419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2" t="s">
        <v>86</v>
      </c>
      <c r="C17" s="66">
        <f t="shared" ref="C17:K17" si="5">+C10+C15</f>
        <v>436912</v>
      </c>
      <c r="D17" s="66">
        <f t="shared" si="5"/>
        <v>413292</v>
      </c>
      <c r="E17" s="66">
        <f t="shared" si="5"/>
        <v>554653</v>
      </c>
      <c r="F17" s="66">
        <f t="shared" ca="1" si="5"/>
        <v>590335.64480000013</v>
      </c>
      <c r="G17" s="66">
        <f t="shared" ca="1" si="5"/>
        <v>595841.83225600014</v>
      </c>
      <c r="H17" s="66">
        <f t="shared" ca="1" si="5"/>
        <v>698588.81359872012</v>
      </c>
      <c r="I17" s="66">
        <f t="shared" ca="1" si="5"/>
        <v>764813.05120112654</v>
      </c>
      <c r="J17" s="66">
        <f t="shared" ca="1" si="5"/>
        <v>837575.68371346663</v>
      </c>
      <c r="K17" s="66">
        <f t="shared" ca="1" si="5"/>
        <v>917548.63743674383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21" t="s">
        <v>32</v>
      </c>
      <c r="C18" s="15">
        <f t="shared" ref="C18:K18" si="6">+C17/C10</f>
        <v>0.48706672151451408</v>
      </c>
      <c r="D18" s="15">
        <f t="shared" si="6"/>
        <v>0.46322382224772701</v>
      </c>
      <c r="E18" s="15">
        <f t="shared" si="6"/>
        <v>0.48996835739361033</v>
      </c>
      <c r="F18" s="15">
        <f t="shared" ca="1" si="6"/>
        <v>0.45764204186913698</v>
      </c>
      <c r="G18" s="15">
        <f t="shared" ca="1" si="6"/>
        <v>0.4608907335539606</v>
      </c>
      <c r="H18" s="15">
        <f t="shared" ca="1" si="6"/>
        <v>0.49405898324078401</v>
      </c>
      <c r="I18" s="15">
        <f t="shared" ca="1" si="6"/>
        <v>0.49439233301940966</v>
      </c>
      <c r="J18" s="15">
        <f t="shared" ca="1" si="6"/>
        <v>0.49472909896697248</v>
      </c>
      <c r="K18" s="15">
        <f t="shared" ca="1" si="6"/>
        <v>0.49506910783551478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2"/>
      <c r="C19" s="66"/>
      <c r="D19" s="66"/>
      <c r="E19" s="66"/>
      <c r="F19" s="66"/>
      <c r="G19" s="66"/>
      <c r="H19" s="66"/>
      <c r="I19" s="66"/>
      <c r="J19" s="66"/>
      <c r="K19" s="6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9" t="s">
        <v>87</v>
      </c>
      <c r="C20" s="64">
        <v>-68644</v>
      </c>
      <c r="D20" s="64">
        <v>-70161</v>
      </c>
      <c r="E20" s="64">
        <v>-75716</v>
      </c>
      <c r="F20" s="65">
        <f ca="1">+Assumptions!F32</f>
        <v>-83846.791600000011</v>
      </c>
      <c r="G20" s="65">
        <f ca="1">+Assumptions!G32</f>
        <v>-84032.32323200001</v>
      </c>
      <c r="H20" s="65">
        <f ca="1">+Assumptions!H32</f>
        <v>-91908.606915840021</v>
      </c>
      <c r="I20" s="65">
        <f ca="1">+Assumptions!I32</f>
        <v>-100553.43703342082</v>
      </c>
      <c r="J20" s="65">
        <f ca="1">+Assumptions!J32</f>
        <v>-110044.91054812574</v>
      </c>
      <c r="K20" s="65">
        <f ca="1">+Assumptions!K32</f>
        <v>-120469.36577025078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9" t="s">
        <v>88</v>
      </c>
      <c r="C21" s="64">
        <v>-289916</v>
      </c>
      <c r="D21" s="64">
        <v>-307605</v>
      </c>
      <c r="E21" s="64">
        <v>-389430</v>
      </c>
      <c r="F21" s="65">
        <f ca="1">+Assumptions!F38</f>
        <v>-412784.20480000007</v>
      </c>
      <c r="G21" s="65">
        <f ca="1">+Assumptions!G38</f>
        <v>-413697.59129600006</v>
      </c>
      <c r="H21" s="65">
        <f ca="1">+Assumptions!H38</f>
        <v>-452473.14173952007</v>
      </c>
      <c r="I21" s="65">
        <f ca="1">+Assumptions!I38</f>
        <v>-495032.30539530248</v>
      </c>
      <c r="J21" s="65">
        <f ca="1">+Assumptions!J38</f>
        <v>-541759.55962154211</v>
      </c>
      <c r="K21" s="65">
        <f ca="1">+Assumptions!K38</f>
        <v>-593079.95456123457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3" t="s">
        <v>89</v>
      </c>
      <c r="C22" s="66">
        <f t="shared" ref="C22:K22" si="7">+C20+C21</f>
        <v>-358560</v>
      </c>
      <c r="D22" s="66">
        <f t="shared" si="7"/>
        <v>-377766</v>
      </c>
      <c r="E22" s="66">
        <f t="shared" si="7"/>
        <v>-465146</v>
      </c>
      <c r="F22" s="66">
        <f t="shared" ca="1" si="7"/>
        <v>-496630.99640000006</v>
      </c>
      <c r="G22" s="66">
        <f t="shared" ca="1" si="7"/>
        <v>-497729.91452800005</v>
      </c>
      <c r="H22" s="66">
        <f t="shared" ca="1" si="7"/>
        <v>-544381.74865536008</v>
      </c>
      <c r="I22" s="66">
        <f t="shared" ca="1" si="7"/>
        <v>-595585.74242872326</v>
      </c>
      <c r="J22" s="66">
        <f t="shared" ca="1" si="7"/>
        <v>-651804.47016966785</v>
      </c>
      <c r="K22" s="66">
        <f t="shared" ca="1" si="7"/>
        <v>-713549.32033148536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" t="s">
        <v>90</v>
      </c>
      <c r="C24" s="66">
        <f t="shared" ref="C24:K24" si="8">+C17+C22</f>
        <v>78352</v>
      </c>
      <c r="D24" s="66">
        <f t="shared" si="8"/>
        <v>35526</v>
      </c>
      <c r="E24" s="66">
        <f t="shared" si="8"/>
        <v>89507</v>
      </c>
      <c r="F24" s="66">
        <f t="shared" ca="1" si="8"/>
        <v>93704.648400000064</v>
      </c>
      <c r="G24" s="66">
        <f t="shared" ca="1" si="8"/>
        <v>98111.917728000088</v>
      </c>
      <c r="H24" s="66">
        <f t="shared" ca="1" si="8"/>
        <v>154207.06494336005</v>
      </c>
      <c r="I24" s="66">
        <f t="shared" ca="1" si="8"/>
        <v>169227.30877240328</v>
      </c>
      <c r="J24" s="66">
        <f t="shared" ca="1" si="8"/>
        <v>185771.21354379877</v>
      </c>
      <c r="K24" s="66">
        <f t="shared" ca="1" si="8"/>
        <v>203999.31710525847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1" t="s">
        <v>32</v>
      </c>
      <c r="C25" s="15">
        <f t="shared" ref="C25:K25" si="9">+C24/C10</f>
        <v>8.7346311760961484E-2</v>
      </c>
      <c r="D25" s="15">
        <f t="shared" si="9"/>
        <v>3.9818069329125044E-2</v>
      </c>
      <c r="E25" s="15">
        <f t="shared" si="9"/>
        <v>7.9068530712409171E-2</v>
      </c>
      <c r="F25" s="15">
        <f t="shared" ca="1" si="9"/>
        <v>7.2642041869136989E-2</v>
      </c>
      <c r="G25" s="15">
        <f t="shared" ca="1" si="9"/>
        <v>7.5890733553960601E-2</v>
      </c>
      <c r="H25" s="15">
        <f t="shared" ca="1" si="9"/>
        <v>0.10905898324078403</v>
      </c>
      <c r="I25" s="15">
        <f t="shared" ca="1" si="9"/>
        <v>0.10939233301940969</v>
      </c>
      <c r="J25" s="15">
        <f t="shared" ca="1" si="9"/>
        <v>0.10972909896697246</v>
      </c>
      <c r="K25" s="15">
        <f t="shared" ca="1" si="9"/>
        <v>0.11006910783551474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"/>
      <c r="C26" s="66"/>
      <c r="D26" s="66"/>
      <c r="E26" s="66"/>
      <c r="F26" s="66"/>
      <c r="G26" s="66"/>
      <c r="H26" s="66"/>
      <c r="I26" s="66"/>
      <c r="J26" s="66"/>
      <c r="K26" s="6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9" t="s">
        <v>91</v>
      </c>
      <c r="C27" s="64">
        <v>53559</v>
      </c>
      <c r="D27" s="64">
        <v>61067</v>
      </c>
      <c r="E27" s="64">
        <v>72990</v>
      </c>
      <c r="F27" s="65">
        <f ca="1">+Assumptions!F44</f>
        <v>83588.801472000021</v>
      </c>
      <c r="G27" s="65">
        <f ca="1">+Assumptions!G44</f>
        <v>83773.762237440009</v>
      </c>
      <c r="H27" s="65">
        <f ca="1">+Assumptions!H44</f>
        <v>91625.811202252822</v>
      </c>
      <c r="I27" s="65">
        <f ca="1">+Assumptions!I44</f>
        <v>100244.04184254874</v>
      </c>
      <c r="J27" s="65">
        <f ca="1">+Assumptions!J44</f>
        <v>109706.31082336228</v>
      </c>
      <c r="K27" s="65">
        <f ca="1">+Assumptions!K44</f>
        <v>120098.69079865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" t="s">
        <v>92</v>
      </c>
      <c r="C29" s="66">
        <f t="shared" ref="C29:K29" si="10">+C24+C27</f>
        <v>131911</v>
      </c>
      <c r="D29" s="66">
        <f t="shared" si="10"/>
        <v>96593</v>
      </c>
      <c r="E29" s="66">
        <f t="shared" si="10"/>
        <v>162497</v>
      </c>
      <c r="F29" s="66">
        <f t="shared" ca="1" si="10"/>
        <v>177293.44987200008</v>
      </c>
      <c r="G29" s="66">
        <f t="shared" ca="1" si="10"/>
        <v>181885.6799654401</v>
      </c>
      <c r="H29" s="66">
        <f t="shared" ca="1" si="10"/>
        <v>245832.87614561286</v>
      </c>
      <c r="I29" s="66">
        <f t="shared" ca="1" si="10"/>
        <v>269471.35061495204</v>
      </c>
      <c r="J29" s="66">
        <f t="shared" ca="1" si="10"/>
        <v>295477.52436716104</v>
      </c>
      <c r="K29" s="66">
        <f t="shared" ca="1" si="10"/>
        <v>324098.0079039085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1" t="s">
        <v>32</v>
      </c>
      <c r="C30" s="15">
        <f t="shared" ref="C30:K30" si="11">+C29/C10</f>
        <v>0.14705354465361689</v>
      </c>
      <c r="D30" s="15">
        <f t="shared" si="11"/>
        <v>0.10826287143805031</v>
      </c>
      <c r="E30" s="15">
        <f t="shared" si="11"/>
        <v>0.14354630403403479</v>
      </c>
      <c r="F30" s="15">
        <f t="shared" ca="1" si="11"/>
        <v>0.137442041869137</v>
      </c>
      <c r="G30" s="15">
        <f t="shared" ca="1" si="11"/>
        <v>0.14069073355396061</v>
      </c>
      <c r="H30" s="15">
        <f t="shared" ca="1" si="11"/>
        <v>0.17385898324078403</v>
      </c>
      <c r="I30" s="15">
        <f t="shared" ca="1" si="11"/>
        <v>0.1741923330194097</v>
      </c>
      <c r="J30" s="15">
        <f t="shared" ca="1" si="11"/>
        <v>0.17452909896697244</v>
      </c>
      <c r="K30" s="15">
        <f t="shared" ca="1" si="11"/>
        <v>0.17486910783551476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"/>
      <c r="C31" s="66"/>
      <c r="D31" s="66"/>
      <c r="E31" s="66"/>
      <c r="F31" s="66"/>
      <c r="G31" s="66"/>
      <c r="H31" s="66"/>
      <c r="I31" s="66"/>
      <c r="J31" s="66"/>
      <c r="K31" s="6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9" t="s">
        <v>93</v>
      </c>
      <c r="C32" s="64">
        <v>-4419</v>
      </c>
      <c r="D32" s="64">
        <v>-6177</v>
      </c>
      <c r="E32" s="64">
        <v>-23500</v>
      </c>
      <c r="F32" s="65">
        <f ca="1">+Assumptions!F50</f>
        <v>-5405</v>
      </c>
      <c r="G32" s="65">
        <f ca="1">+Assumptions!G50</f>
        <v>-8107.5</v>
      </c>
      <c r="H32" s="65">
        <f ca="1">+Assumptions!H50</f>
        <v>-8918.25</v>
      </c>
      <c r="I32" s="65">
        <f ca="1">+Assumptions!I50</f>
        <v>-10701.9</v>
      </c>
      <c r="J32" s="65">
        <f ca="1">+Assumptions!J50</f>
        <v>-12842.279999999999</v>
      </c>
      <c r="K32" s="65">
        <f ca="1">+Assumptions!K50</f>
        <v>-15410.735999999997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9" t="s">
        <v>38</v>
      </c>
      <c r="C33" s="64">
        <v>-12595</v>
      </c>
      <c r="D33" s="64">
        <v>-2845</v>
      </c>
      <c r="E33" s="64">
        <v>-11842</v>
      </c>
      <c r="F33" s="65">
        <f ca="1">+Assumptions!F56</f>
        <v>-5297.9789040000032</v>
      </c>
      <c r="G33" s="65">
        <f ca="1">+Assumptions!G56</f>
        <v>-8100.3975955200076</v>
      </c>
      <c r="H33" s="65">
        <f ca="1">+Assumptions!H56</f>
        <v>-21793.322241504007</v>
      </c>
      <c r="I33" s="65">
        <f ca="1">+Assumptions!I56</f>
        <v>-23778.811315860494</v>
      </c>
      <c r="J33" s="65">
        <f ca="1">+Assumptions!J56</f>
        <v>-25939.340031569816</v>
      </c>
      <c r="K33" s="65">
        <f ca="1">+Assumptions!K56</f>
        <v>-28288.28716578877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1" t="s">
        <v>40</v>
      </c>
      <c r="C34" s="15">
        <f t="shared" ref="C34:K34" si="12">+-C33/(C24+C32)</f>
        <v>0.17035694480137423</v>
      </c>
      <c r="D34" s="15">
        <f t="shared" si="12"/>
        <v>9.6936863266210094E-2</v>
      </c>
      <c r="E34" s="15">
        <f t="shared" si="12"/>
        <v>0.17940521459845168</v>
      </c>
      <c r="F34" s="15">
        <f t="shared" ca="1" si="12"/>
        <v>5.9999999999999991E-2</v>
      </c>
      <c r="G34" s="15">
        <f t="shared" ca="1" si="12"/>
        <v>0.09</v>
      </c>
      <c r="H34" s="15">
        <f t="shared" ca="1" si="12"/>
        <v>0.15</v>
      </c>
      <c r="I34" s="15">
        <f t="shared" ca="1" si="12"/>
        <v>0.15</v>
      </c>
      <c r="J34" s="15">
        <f t="shared" ca="1" si="12"/>
        <v>0.15</v>
      </c>
      <c r="K34" s="15">
        <f t="shared" ca="1" si="12"/>
        <v>0.15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" t="s">
        <v>94</v>
      </c>
      <c r="C36" s="66">
        <f t="shared" ref="C36:K36" si="13">+C24+C32+C33</f>
        <v>61338</v>
      </c>
      <c r="D36" s="66">
        <f t="shared" si="13"/>
        <v>26504</v>
      </c>
      <c r="E36" s="66">
        <f t="shared" si="13"/>
        <v>54165</v>
      </c>
      <c r="F36" s="66">
        <f t="shared" ca="1" si="13"/>
        <v>83001.66949600006</v>
      </c>
      <c r="G36" s="66">
        <f t="shared" ca="1" si="13"/>
        <v>81904.020132480073</v>
      </c>
      <c r="H36" s="66">
        <f t="shared" ca="1" si="13"/>
        <v>123495.49270185604</v>
      </c>
      <c r="I36" s="66">
        <f t="shared" ca="1" si="13"/>
        <v>134746.5974565428</v>
      </c>
      <c r="J36" s="66">
        <f t="shared" ca="1" si="13"/>
        <v>146989.59351222895</v>
      </c>
      <c r="K36" s="66">
        <f t="shared" ca="1" si="13"/>
        <v>160300.2939394697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7"/>
      <c r="D37" s="7"/>
      <c r="E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" t="s">
        <v>95</v>
      </c>
      <c r="C38" s="64">
        <v>-15894</v>
      </c>
      <c r="D38" s="64">
        <v>-22842</v>
      </c>
      <c r="E38" s="64">
        <v>-28967</v>
      </c>
      <c r="F38" s="65">
        <f ca="1">+Assumptions!F62</f>
        <v>-30958.815360000004</v>
      </c>
      <c r="G38" s="65">
        <f ca="1">+Assumptions!G62</f>
        <v>-31027.319347200002</v>
      </c>
      <c r="H38" s="65">
        <f ca="1">+Assumptions!H62</f>
        <v>-33935.485630464005</v>
      </c>
      <c r="I38" s="65">
        <f ca="1">+Assumptions!I62</f>
        <v>-37127.422904647683</v>
      </c>
      <c r="J38" s="65">
        <f ca="1">+Assumptions!J62</f>
        <v>-40631.966971615657</v>
      </c>
      <c r="K38" s="65">
        <f ca="1">+Assumptions!K62</f>
        <v>-44480.99659209259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9" t="s">
        <v>96</v>
      </c>
      <c r="C40" s="64">
        <v>228.1</v>
      </c>
      <c r="D40" s="64">
        <v>200.4</v>
      </c>
      <c r="E40" s="64">
        <v>251.6</v>
      </c>
      <c r="F40" s="65">
        <f ca="1">+Assumptions!F68</f>
        <v>353.41113424657539</v>
      </c>
      <c r="G40" s="65">
        <f ca="1">+Assumptions!G68</f>
        <v>354.19314323287676</v>
      </c>
      <c r="H40" s="65">
        <f ca="1">+Assumptions!H68</f>
        <v>387.39138847561651</v>
      </c>
      <c r="I40" s="65">
        <f ca="1">+Assumptions!I68</f>
        <v>423.82902859186856</v>
      </c>
      <c r="J40" s="65">
        <f ca="1">+Assumptions!J68</f>
        <v>463.83523940200524</v>
      </c>
      <c r="K40" s="65">
        <f ca="1">+Assumptions!K68</f>
        <v>507.77393369968718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9" t="s">
        <v>97</v>
      </c>
      <c r="C41" s="64">
        <v>108</v>
      </c>
      <c r="D41" s="64">
        <v>96.3</v>
      </c>
      <c r="E41" s="64">
        <v>119.9</v>
      </c>
      <c r="F41" s="65">
        <f ca="1">+Assumptions!F74</f>
        <v>134.17273880547947</v>
      </c>
      <c r="G41" s="65">
        <f ca="1">+Assumptions!G74</f>
        <v>133.66416393994521</v>
      </c>
      <c r="H41" s="65">
        <f ca="1">+Assumptions!H74</f>
        <v>137.1980350783825</v>
      </c>
      <c r="I41" s="65">
        <f ca="1">+Assumptions!I74</f>
        <v>150.00384444148921</v>
      </c>
      <c r="J41" s="65">
        <f ca="1">+Assumptions!J74</f>
        <v>164.05371454046485</v>
      </c>
      <c r="K41" s="65">
        <f ca="1">+Assumptions!K74</f>
        <v>179.47352175259726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9" t="s">
        <v>98</v>
      </c>
      <c r="C42" s="64">
        <v>5.4</v>
      </c>
      <c r="D42" s="64">
        <v>26.8</v>
      </c>
      <c r="E42" s="64">
        <v>31.1</v>
      </c>
      <c r="F42" s="65">
        <f ca="1">+Assumptions!F80</f>
        <v>38.698519200000007</v>
      </c>
      <c r="G42" s="65">
        <f ca="1">+Assumptions!G80</f>
        <v>38.784149184000007</v>
      </c>
      <c r="H42" s="65">
        <f ca="1">+Assumptions!H80</f>
        <v>42.419357038080008</v>
      </c>
      <c r="I42" s="65">
        <f ca="1">+Assumptions!I80</f>
        <v>46.409278630809609</v>
      </c>
      <c r="J42" s="65">
        <f ca="1">+Assumptions!J80</f>
        <v>50.789958714519571</v>
      </c>
      <c r="K42" s="65">
        <f ca="1">+Assumptions!K80</f>
        <v>55.601245740115743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" t="s">
        <v>99</v>
      </c>
      <c r="C43" s="66">
        <f t="shared" ref="C43:K43" si="14">+SUM(C40:C42)</f>
        <v>341.5</v>
      </c>
      <c r="D43" s="66">
        <f t="shared" si="14"/>
        <v>323.5</v>
      </c>
      <c r="E43" s="66">
        <f t="shared" si="14"/>
        <v>402.6</v>
      </c>
      <c r="F43" s="66">
        <f t="shared" ca="1" si="14"/>
        <v>526.28239225205482</v>
      </c>
      <c r="G43" s="66">
        <f t="shared" ca="1" si="14"/>
        <v>526.641456356822</v>
      </c>
      <c r="H43" s="66">
        <f t="shared" ca="1" si="14"/>
        <v>567.00878059207901</v>
      </c>
      <c r="I43" s="66">
        <f t="shared" ca="1" si="14"/>
        <v>620.24215166416741</v>
      </c>
      <c r="J43" s="66">
        <f t="shared" ca="1" si="14"/>
        <v>678.67891265698972</v>
      </c>
      <c r="K43" s="66">
        <f t="shared" ca="1" si="14"/>
        <v>742.84870119240009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9" t="s">
        <v>100</v>
      </c>
      <c r="C45" s="64">
        <v>46.4</v>
      </c>
      <c r="D45" s="64">
        <v>40.299999999999997</v>
      </c>
      <c r="E45" s="64">
        <v>71.5</v>
      </c>
      <c r="F45" s="65">
        <f ca="1">+Assumptions!F86</f>
        <v>86.253903517808212</v>
      </c>
      <c r="G45" s="65">
        <f ca="1">+Assumptions!G86</f>
        <v>85.926962532821904</v>
      </c>
      <c r="H45" s="65">
        <f ca="1">+Assumptions!H86</f>
        <v>68.599017539191252</v>
      </c>
      <c r="I45" s="65">
        <f ca="1">+Assumptions!I86</f>
        <v>75.001922220744603</v>
      </c>
      <c r="J45" s="65">
        <f ca="1">+Assumptions!J86</f>
        <v>82.026857270232426</v>
      </c>
      <c r="K45" s="65">
        <f ca="1">+Assumptions!K86</f>
        <v>89.736760876298632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9" t="s">
        <v>101</v>
      </c>
      <c r="C46" s="64">
        <v>0</v>
      </c>
      <c r="D46" s="64">
        <v>18.2</v>
      </c>
      <c r="E46" s="64">
        <v>31.7</v>
      </c>
      <c r="F46" s="65">
        <f ca="1">+Assumptions!F92</f>
        <v>25.799012800000003</v>
      </c>
      <c r="G46" s="65">
        <f ca="1">+Assumptions!G92</f>
        <v>25.856099456000003</v>
      </c>
      <c r="H46" s="65">
        <f ca="1">+Assumptions!H92</f>
        <v>28.279571358720005</v>
      </c>
      <c r="I46" s="65">
        <f ca="1">+Assumptions!I92</f>
        <v>30.939519087206406</v>
      </c>
      <c r="J46" s="65">
        <f ca="1">+Assumptions!J92</f>
        <v>33.859972476346385</v>
      </c>
      <c r="K46" s="65">
        <f ca="1">+Assumptions!K92</f>
        <v>37.06749716007716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9" t="s">
        <v>102</v>
      </c>
      <c r="C47" s="64">
        <v>7.1</v>
      </c>
      <c r="D47" s="64">
        <v>5.7</v>
      </c>
      <c r="E47" s="64">
        <v>20.2</v>
      </c>
      <c r="F47" s="65">
        <f ca="1">+Assumptions!F98</f>
        <v>9.0296544800000014</v>
      </c>
      <c r="G47" s="65">
        <f ca="1">+Assumptions!G98</f>
        <v>9.0496348096000006</v>
      </c>
      <c r="H47" s="65">
        <f ca="1">+Assumptions!H98</f>
        <v>9.8978499755520009</v>
      </c>
      <c r="I47" s="65">
        <f ca="1">+Assumptions!I98</f>
        <v>10.828831680522242</v>
      </c>
      <c r="J47" s="65">
        <f ca="1">+Assumptions!J98</f>
        <v>11.850990366721232</v>
      </c>
      <c r="K47" s="65">
        <f ca="1">+Assumptions!K98</f>
        <v>12.973624006027006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" t="s">
        <v>103</v>
      </c>
      <c r="C48" s="66">
        <f t="shared" ref="C48:K48" si="15">+SUM(C45:C47)</f>
        <v>53.5</v>
      </c>
      <c r="D48" s="66">
        <f t="shared" si="15"/>
        <v>64.2</v>
      </c>
      <c r="E48" s="66">
        <f t="shared" si="15"/>
        <v>123.4</v>
      </c>
      <c r="F48" s="66">
        <f t="shared" ca="1" si="15"/>
        <v>121.08257079780822</v>
      </c>
      <c r="G48" s="66">
        <f t="shared" ca="1" si="15"/>
        <v>120.83269679842192</v>
      </c>
      <c r="H48" s="66">
        <f t="shared" ca="1" si="15"/>
        <v>106.77643887346326</v>
      </c>
      <c r="I48" s="66">
        <f t="shared" ca="1" si="15"/>
        <v>116.77027298847325</v>
      </c>
      <c r="J48" s="66">
        <f t="shared" ca="1" si="15"/>
        <v>127.73782011330005</v>
      </c>
      <c r="K48" s="66">
        <f t="shared" ca="1" si="15"/>
        <v>139.77788204240278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9" t="s">
        <v>104</v>
      </c>
      <c r="C50" s="67">
        <f t="shared" ref="C50:K50" si="16">+C43-C48</f>
        <v>288</v>
      </c>
      <c r="D50" s="67">
        <f t="shared" si="16"/>
        <v>259.3</v>
      </c>
      <c r="E50" s="67">
        <f t="shared" si="16"/>
        <v>279.20000000000005</v>
      </c>
      <c r="F50" s="67">
        <f t="shared" ca="1" si="16"/>
        <v>405.1998214542466</v>
      </c>
      <c r="G50" s="67">
        <f t="shared" ca="1" si="16"/>
        <v>405.80875955840008</v>
      </c>
      <c r="H50" s="67">
        <f t="shared" ca="1" si="16"/>
        <v>460.23234171861577</v>
      </c>
      <c r="I50" s="67">
        <f t="shared" ca="1" si="16"/>
        <v>503.47187867569414</v>
      </c>
      <c r="J50" s="67">
        <f t="shared" ca="1" si="16"/>
        <v>550.94109254368971</v>
      </c>
      <c r="K50" s="67">
        <f t="shared" ca="1" si="16"/>
        <v>603.07081914999731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3" t="s">
        <v>105</v>
      </c>
      <c r="C51" s="68"/>
      <c r="D51" s="68">
        <f t="shared" ref="D51:K51" si="17">+C50-D50</f>
        <v>28.699999999999989</v>
      </c>
      <c r="E51" s="68">
        <f t="shared" si="17"/>
        <v>-19.900000000000034</v>
      </c>
      <c r="F51" s="66">
        <f t="shared" ca="1" si="17"/>
        <v>-125.99982145424656</v>
      </c>
      <c r="G51" s="66">
        <f t="shared" ca="1" si="17"/>
        <v>-0.60893810415348071</v>
      </c>
      <c r="H51" s="66">
        <f t="shared" ca="1" si="17"/>
        <v>-54.423582160215688</v>
      </c>
      <c r="I51" s="66">
        <f t="shared" ca="1" si="17"/>
        <v>-43.239536957078371</v>
      </c>
      <c r="J51" s="66">
        <f t="shared" ca="1" si="17"/>
        <v>-47.469213867995563</v>
      </c>
      <c r="K51" s="66">
        <f t="shared" ca="1" si="17"/>
        <v>-52.129726606307599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C6:E6"/>
    <mergeCell ref="F6:K6"/>
  </mergeCells>
  <pageMargins left="0.7" right="0.7" top="0.75" bottom="0.75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ACC00"/>
  </sheetPr>
  <dimension ref="A1:Z1000"/>
  <sheetViews>
    <sheetView showGridLines="0" tabSelected="1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C27" sqref="C27"/>
    </sheetView>
  </sheetViews>
  <sheetFormatPr defaultColWidth="14.42578125" defaultRowHeight="15" customHeight="1" outlineLevelCol="1"/>
  <cols>
    <col min="1" max="1" width="2.7109375" customWidth="1"/>
    <col min="2" max="2" width="35.7109375" customWidth="1"/>
    <col min="3" max="3" width="13.28515625" customWidth="1" outlineLevel="1"/>
    <col min="4" max="4" width="15.140625" customWidth="1" outlineLevel="1"/>
    <col min="5" max="5" width="14.140625" customWidth="1" outlineLevel="1"/>
    <col min="6" max="6" width="13" customWidth="1"/>
    <col min="7" max="7" width="14" customWidth="1"/>
    <col min="8" max="8" width="13.7109375" customWidth="1"/>
    <col min="9" max="10" width="12.85546875" customWidth="1"/>
    <col min="11" max="11" width="13.28515625" customWidth="1"/>
    <col min="12" max="12" width="10.7109375" customWidth="1"/>
    <col min="13" max="13" width="11.85546875" customWidth="1"/>
    <col min="14" max="26" width="10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3" t="s">
        <v>106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3" t="s">
        <v>14</v>
      </c>
      <c r="C4" s="12" t="str">
        <f ca="1">+Master!$D$8</f>
        <v>Base</v>
      </c>
      <c r="D4" s="12">
        <f>+Master!$C$8</f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 t="s">
        <v>15</v>
      </c>
      <c r="B6" s="3" t="s">
        <v>16</v>
      </c>
      <c r="C6" s="91" t="s">
        <v>78</v>
      </c>
      <c r="D6" s="92"/>
      <c r="E6" s="93"/>
      <c r="F6" s="94" t="s">
        <v>79</v>
      </c>
      <c r="G6" s="92"/>
      <c r="H6" s="92"/>
      <c r="I6" s="92"/>
      <c r="J6" s="92"/>
      <c r="K6" s="93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"/>
      <c r="C7" s="63">
        <v>43732</v>
      </c>
      <c r="D7" s="63">
        <f t="shared" ref="D7:E7" si="0">+EOMONTH(C7,12)</f>
        <v>44104</v>
      </c>
      <c r="E7" s="63">
        <f t="shared" si="0"/>
        <v>44469</v>
      </c>
      <c r="F7" s="18">
        <v>44828</v>
      </c>
      <c r="G7" s="18">
        <f t="shared" ref="G7:K7" si="1">+EOMONTH(F7,12)</f>
        <v>45199</v>
      </c>
      <c r="H7" s="18">
        <f t="shared" si="1"/>
        <v>45565</v>
      </c>
      <c r="I7" s="18">
        <f t="shared" si="1"/>
        <v>45930</v>
      </c>
      <c r="J7" s="18">
        <f t="shared" si="1"/>
        <v>46295</v>
      </c>
      <c r="K7" s="18">
        <f t="shared" si="1"/>
        <v>46660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3" t="s">
        <v>80</v>
      </c>
      <c r="C8" s="69">
        <f>+'Operating Build'!C8</f>
        <v>659602</v>
      </c>
      <c r="D8" s="69">
        <f>+'Operating Build'!D8</f>
        <v>636031</v>
      </c>
      <c r="E8" s="69">
        <f>+'Operating Build'!E8</f>
        <v>812512</v>
      </c>
      <c r="F8" s="66">
        <f t="shared" ref="F8:K8" ca="1" si="2">+E8*(1+F9)</f>
        <v>893763.20000000007</v>
      </c>
      <c r="G8" s="66">
        <f t="shared" ca="1" si="2"/>
        <v>849075.04</v>
      </c>
      <c r="H8" s="66">
        <f t="shared" ca="1" si="2"/>
        <v>917001.04320000007</v>
      </c>
      <c r="I8" s="66">
        <f t="shared" ca="1" si="2"/>
        <v>990361.12665600015</v>
      </c>
      <c r="J8" s="66">
        <f t="shared" ca="1" si="2"/>
        <v>1069590.0167884803</v>
      </c>
      <c r="K8" s="66">
        <f t="shared" ca="1" si="2"/>
        <v>1155157.2181315587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21" t="s">
        <v>22</v>
      </c>
      <c r="C9" s="3"/>
      <c r="D9" s="70">
        <f t="shared" ref="D9:E9" si="3">+D8/C8-1</f>
        <v>-3.5735185763536181E-2</v>
      </c>
      <c r="E9" s="70">
        <f t="shared" si="3"/>
        <v>0.2774723244621724</v>
      </c>
      <c r="F9" s="70">
        <f t="shared" ref="F9:K9" ca="1" si="4">+OFFSET(F9,$D$4,)</f>
        <v>0.1</v>
      </c>
      <c r="G9" s="70">
        <f t="shared" ca="1" si="4"/>
        <v>-0.05</v>
      </c>
      <c r="H9" s="70">
        <f t="shared" ca="1" si="4"/>
        <v>0.08</v>
      </c>
      <c r="I9" s="70">
        <f t="shared" ca="1" si="4"/>
        <v>0.08</v>
      </c>
      <c r="J9" s="70">
        <f t="shared" ca="1" si="4"/>
        <v>0.08</v>
      </c>
      <c r="K9" s="70">
        <f t="shared" ca="1" si="4"/>
        <v>0.08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77" t="s">
        <v>9</v>
      </c>
      <c r="C10" s="78"/>
      <c r="D10" s="78"/>
      <c r="E10" s="78"/>
      <c r="F10" s="79">
        <v>0.1</v>
      </c>
      <c r="G10" s="79">
        <v>-0.05</v>
      </c>
      <c r="H10" s="79">
        <v>0.08</v>
      </c>
      <c r="I10" s="79">
        <v>0.08</v>
      </c>
      <c r="J10" s="79">
        <v>0.08</v>
      </c>
      <c r="K10" s="79">
        <v>0.08</v>
      </c>
      <c r="L10" s="1"/>
      <c r="M10" s="7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9" t="s">
        <v>11</v>
      </c>
      <c r="C11" s="1"/>
      <c r="D11" s="1"/>
      <c r="E11" s="1"/>
      <c r="F11" s="76">
        <v>0.1</v>
      </c>
      <c r="G11" s="76">
        <v>0</v>
      </c>
      <c r="H11" s="76">
        <v>0.12</v>
      </c>
      <c r="I11" s="76">
        <v>0.12</v>
      </c>
      <c r="J11" s="76">
        <v>0.12</v>
      </c>
      <c r="K11" s="76">
        <v>0.12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9" t="s">
        <v>12</v>
      </c>
      <c r="C12" s="1"/>
      <c r="D12" s="1"/>
      <c r="E12" s="1"/>
      <c r="F12" s="76">
        <v>0.1</v>
      </c>
      <c r="G12" s="76">
        <v>-0.1</v>
      </c>
      <c r="H12" s="76">
        <v>0.05</v>
      </c>
      <c r="I12" s="76">
        <v>0.05</v>
      </c>
      <c r="J12" s="76">
        <v>0.05</v>
      </c>
      <c r="K12" s="76">
        <v>0.05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3" t="s">
        <v>107</v>
      </c>
      <c r="C14" s="69">
        <f>+'Operating Build'!C9</f>
        <v>237425</v>
      </c>
      <c r="D14" s="69">
        <f>+'Operating Build'!D9</f>
        <v>256177</v>
      </c>
      <c r="E14" s="69">
        <f>+'Operating Build'!E9</f>
        <v>319506</v>
      </c>
      <c r="F14" s="66">
        <f t="shared" ref="F14:K14" ca="1" si="5">+E14*(1+F15)</f>
        <v>396187.44</v>
      </c>
      <c r="G14" s="66">
        <f t="shared" ca="1" si="5"/>
        <v>443729.93280000007</v>
      </c>
      <c r="H14" s="66">
        <f t="shared" ca="1" si="5"/>
        <v>496977.52473600011</v>
      </c>
      <c r="I14" s="66">
        <f t="shared" ca="1" si="5"/>
        <v>556614.8277043202</v>
      </c>
      <c r="J14" s="66">
        <f t="shared" ca="1" si="5"/>
        <v>623408.60702883871</v>
      </c>
      <c r="K14" s="66">
        <f t="shared" ca="1" si="5"/>
        <v>698217.63987229939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21" t="s">
        <v>22</v>
      </c>
      <c r="C15" s="3"/>
      <c r="D15" s="70">
        <f t="shared" ref="D15:E15" si="6">+D14/C14-1</f>
        <v>7.8980730757081119E-2</v>
      </c>
      <c r="E15" s="70">
        <f t="shared" si="6"/>
        <v>0.24720798510404918</v>
      </c>
      <c r="F15" s="70">
        <f t="shared" ref="F15:K15" ca="1" si="7">+OFFSET(F15,$D$4,)</f>
        <v>0.24</v>
      </c>
      <c r="G15" s="70">
        <f t="shared" ca="1" si="7"/>
        <v>0.12</v>
      </c>
      <c r="H15" s="70">
        <f t="shared" ca="1" si="7"/>
        <v>0.12</v>
      </c>
      <c r="I15" s="70">
        <f t="shared" ca="1" si="7"/>
        <v>0.12</v>
      </c>
      <c r="J15" s="70">
        <f t="shared" ca="1" si="7"/>
        <v>0.12</v>
      </c>
      <c r="K15" s="70">
        <f t="shared" ca="1" si="7"/>
        <v>0.12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77" t="s">
        <v>9</v>
      </c>
      <c r="C16" s="78"/>
      <c r="D16" s="78"/>
      <c r="E16" s="78"/>
      <c r="F16" s="79">
        <v>0.24</v>
      </c>
      <c r="G16" s="79">
        <v>0.12</v>
      </c>
      <c r="H16" s="79">
        <v>0.12</v>
      </c>
      <c r="I16" s="79">
        <v>0.12</v>
      </c>
      <c r="J16" s="79">
        <v>0.12</v>
      </c>
      <c r="K16" s="79">
        <v>0.12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9" t="s">
        <v>11</v>
      </c>
      <c r="C17" s="1"/>
      <c r="D17" s="1"/>
      <c r="E17" s="1"/>
      <c r="F17" s="76">
        <v>0.24</v>
      </c>
      <c r="G17" s="76">
        <v>0.12</v>
      </c>
      <c r="H17" s="76">
        <v>0.2</v>
      </c>
      <c r="I17" s="76">
        <v>0.2</v>
      </c>
      <c r="J17" s="76">
        <v>0.2</v>
      </c>
      <c r="K17" s="76">
        <v>0.2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9" t="s">
        <v>12</v>
      </c>
      <c r="C18" s="1"/>
      <c r="D18" s="1"/>
      <c r="E18" s="1"/>
      <c r="F18" s="76">
        <v>0.24</v>
      </c>
      <c r="G18" s="76">
        <v>0.08</v>
      </c>
      <c r="H18" s="76">
        <v>0.1</v>
      </c>
      <c r="I18" s="76">
        <v>0.1</v>
      </c>
      <c r="J18" s="76">
        <v>0.1</v>
      </c>
      <c r="K18" s="76">
        <v>0.1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3" t="s">
        <v>83</v>
      </c>
      <c r="C20" s="69">
        <f>+'Operating Build'!C13</f>
        <v>-344914</v>
      </c>
      <c r="D20" s="69">
        <f>+'Operating Build'!D13</f>
        <v>-354004</v>
      </c>
      <c r="E20" s="69">
        <f>+'Operating Build'!E13</f>
        <v>-422855</v>
      </c>
      <c r="F20" s="66">
        <f t="shared" ref="F20:K20" ca="1" si="8">+-F21*F8</f>
        <v>-509445.02399999998</v>
      </c>
      <c r="G20" s="66">
        <f t="shared" ca="1" si="8"/>
        <v>-483972.77279999998</v>
      </c>
      <c r="H20" s="66">
        <f t="shared" ca="1" si="8"/>
        <v>-476840.54246400006</v>
      </c>
      <c r="I20" s="66">
        <f t="shared" ca="1" si="8"/>
        <v>-514987.78586112009</v>
      </c>
      <c r="J20" s="66">
        <f t="shared" ca="1" si="8"/>
        <v>-556186.80873000983</v>
      </c>
      <c r="K20" s="66">
        <f t="shared" ca="1" si="8"/>
        <v>-600681.75342841051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21" t="s">
        <v>108</v>
      </c>
      <c r="C21" s="70">
        <f t="shared" ref="C21:E21" si="9">+-C20/C8</f>
        <v>0.52291230166069846</v>
      </c>
      <c r="D21" s="70">
        <f t="shared" si="9"/>
        <v>0.55658293385070856</v>
      </c>
      <c r="E21" s="70">
        <f t="shared" si="9"/>
        <v>0.52042923673742669</v>
      </c>
      <c r="F21" s="70">
        <f t="shared" ref="F21:K21" ca="1" si="10">+OFFSET(F21,$D$4,)</f>
        <v>0.56999999999999995</v>
      </c>
      <c r="G21" s="70">
        <f t="shared" ca="1" si="10"/>
        <v>0.56999999999999995</v>
      </c>
      <c r="H21" s="70">
        <f t="shared" ca="1" si="10"/>
        <v>0.52</v>
      </c>
      <c r="I21" s="70">
        <f t="shared" ca="1" si="10"/>
        <v>0.52</v>
      </c>
      <c r="J21" s="70">
        <f t="shared" ca="1" si="10"/>
        <v>0.52</v>
      </c>
      <c r="K21" s="70">
        <f t="shared" ca="1" si="10"/>
        <v>0.52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9" t="s">
        <v>9</v>
      </c>
      <c r="C22" s="1"/>
      <c r="D22" s="1"/>
      <c r="E22" s="1"/>
      <c r="F22" s="71">
        <v>0.56999999999999995</v>
      </c>
      <c r="G22" s="71">
        <v>0.56999999999999995</v>
      </c>
      <c r="H22" s="71">
        <v>0.52</v>
      </c>
      <c r="I22" s="71">
        <v>0.52</v>
      </c>
      <c r="J22" s="71">
        <v>0.52</v>
      </c>
      <c r="K22" s="71">
        <v>0.52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9" t="s">
        <v>11</v>
      </c>
      <c r="C23" s="1"/>
      <c r="D23" s="1"/>
      <c r="E23" s="1"/>
      <c r="F23" s="71">
        <v>0.55000000000000004</v>
      </c>
      <c r="G23" s="71">
        <v>0.55000000000000004</v>
      </c>
      <c r="H23" s="71">
        <v>0.52</v>
      </c>
      <c r="I23" s="71">
        <v>0.52</v>
      </c>
      <c r="J23" s="71">
        <v>0.52</v>
      </c>
      <c r="K23" s="71">
        <v>0.52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9" t="s">
        <v>12</v>
      </c>
      <c r="C24" s="1"/>
      <c r="D24" s="1"/>
      <c r="E24" s="1"/>
      <c r="F24" s="71">
        <v>0.6</v>
      </c>
      <c r="G24" s="71">
        <v>0.6</v>
      </c>
      <c r="H24" s="71">
        <v>0.55000000000000004</v>
      </c>
      <c r="I24" s="71">
        <v>0.55000000000000004</v>
      </c>
      <c r="J24" s="71">
        <v>0.55000000000000004</v>
      </c>
      <c r="K24" s="71">
        <v>0.55000000000000004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3" t="s">
        <v>84</v>
      </c>
      <c r="C26" s="69">
        <f>+'Operating Build'!C14</f>
        <v>-115201</v>
      </c>
      <c r="D26" s="69">
        <f>+'Operating Build'!D14</f>
        <v>-124912</v>
      </c>
      <c r="E26" s="69">
        <f>+'Operating Build'!E14</f>
        <v>-154510</v>
      </c>
      <c r="F26" s="66">
        <f t="shared" ref="F26:K26" ca="1" si="11">+-F27*F14</f>
        <v>-190169.9712</v>
      </c>
      <c r="G26" s="66">
        <f t="shared" ca="1" si="11"/>
        <v>-212990.36774400002</v>
      </c>
      <c r="H26" s="66">
        <f t="shared" ca="1" si="11"/>
        <v>-238549.21187328003</v>
      </c>
      <c r="I26" s="66">
        <f t="shared" ca="1" si="11"/>
        <v>-267175.11729807366</v>
      </c>
      <c r="J26" s="66">
        <f t="shared" ca="1" si="11"/>
        <v>-299236.1313738426</v>
      </c>
      <c r="K26" s="66">
        <f t="shared" ca="1" si="11"/>
        <v>-335144.46713870368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1" t="s">
        <v>109</v>
      </c>
      <c r="C27" s="70">
        <f t="shared" ref="C27:E27" si="12">+-C26/C14</f>
        <v>0.48521006633673791</v>
      </c>
      <c r="D27" s="70">
        <f t="shared" si="12"/>
        <v>0.48760037005664053</v>
      </c>
      <c r="E27" s="70">
        <f t="shared" si="12"/>
        <v>0.4835902925140686</v>
      </c>
      <c r="F27" s="70">
        <f t="shared" ref="F27:K27" ca="1" si="13">+OFFSET(F27,$D$4,)</f>
        <v>0.48</v>
      </c>
      <c r="G27" s="70">
        <f t="shared" ca="1" si="13"/>
        <v>0.48</v>
      </c>
      <c r="H27" s="70">
        <f t="shared" ca="1" si="13"/>
        <v>0.48</v>
      </c>
      <c r="I27" s="70">
        <f t="shared" ca="1" si="13"/>
        <v>0.48</v>
      </c>
      <c r="J27" s="70">
        <f t="shared" ca="1" si="13"/>
        <v>0.48</v>
      </c>
      <c r="K27" s="70">
        <f t="shared" ca="1" si="13"/>
        <v>0.48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9" t="s">
        <v>9</v>
      </c>
      <c r="C28" s="1"/>
      <c r="D28" s="1"/>
      <c r="E28" s="1"/>
      <c r="F28" s="71">
        <v>0.48</v>
      </c>
      <c r="G28" s="71">
        <v>0.48</v>
      </c>
      <c r="H28" s="71">
        <v>0.48</v>
      </c>
      <c r="I28" s="71">
        <v>0.48</v>
      </c>
      <c r="J28" s="71">
        <v>0.48</v>
      </c>
      <c r="K28" s="71">
        <v>0.48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9" t="s">
        <v>11</v>
      </c>
      <c r="C29" s="1"/>
      <c r="D29" s="1"/>
      <c r="E29" s="1"/>
      <c r="F29" s="71">
        <v>0.48</v>
      </c>
      <c r="G29" s="71">
        <v>0.48</v>
      </c>
      <c r="H29" s="71">
        <v>0.48</v>
      </c>
      <c r="I29" s="71">
        <v>0.48</v>
      </c>
      <c r="J29" s="71">
        <v>0.48</v>
      </c>
      <c r="K29" s="71">
        <v>0.48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9" t="s">
        <v>12</v>
      </c>
      <c r="C30" s="1"/>
      <c r="D30" s="1"/>
      <c r="E30" s="1"/>
      <c r="F30" s="71">
        <v>0.48</v>
      </c>
      <c r="G30" s="71">
        <v>0.48</v>
      </c>
      <c r="H30" s="71">
        <v>0.48</v>
      </c>
      <c r="I30" s="71">
        <v>0.48</v>
      </c>
      <c r="J30" s="71">
        <v>0.48</v>
      </c>
      <c r="K30" s="71">
        <v>0.48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3" t="s">
        <v>87</v>
      </c>
      <c r="C32" s="69">
        <f>+'Operating Build'!C20</f>
        <v>-68644</v>
      </c>
      <c r="D32" s="69">
        <f>+'Operating Build'!D20</f>
        <v>-70161</v>
      </c>
      <c r="E32" s="69">
        <f>+'Operating Build'!E20</f>
        <v>-75716</v>
      </c>
      <c r="F32" s="66">
        <f ca="1">+-F33*'Operating Build'!F10</f>
        <v>-83846.791600000011</v>
      </c>
      <c r="G32" s="66">
        <f ca="1">+-G33*'Operating Build'!G10</f>
        <v>-84032.32323200001</v>
      </c>
      <c r="H32" s="66">
        <f ca="1">+-H33*'Operating Build'!H10</f>
        <v>-91908.606915840021</v>
      </c>
      <c r="I32" s="66">
        <f ca="1">+-I33*'Operating Build'!I10</f>
        <v>-100553.43703342082</v>
      </c>
      <c r="J32" s="66">
        <f ca="1">+-J33*'Operating Build'!J10</f>
        <v>-110044.91054812574</v>
      </c>
      <c r="K32" s="66">
        <f ca="1">+-K33*'Operating Build'!K10</f>
        <v>-120469.36577025078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21" t="s">
        <v>110</v>
      </c>
      <c r="C33" s="70">
        <f>+-C32/'Operating Build'!C10</f>
        <v>7.6523895044407805E-2</v>
      </c>
      <c r="D33" s="70">
        <f>+-D32/'Operating Build'!D10</f>
        <v>7.8637492602621817E-2</v>
      </c>
      <c r="E33" s="70">
        <f>+-E32/'Operating Build'!E10</f>
        <v>6.6885862238939664E-2</v>
      </c>
      <c r="F33" s="70">
        <f t="shared" ref="F33:K33" ca="1" si="14">+OFFSET(F33,$D$4,)</f>
        <v>6.5000000000000002E-2</v>
      </c>
      <c r="G33" s="70">
        <f t="shared" ca="1" si="14"/>
        <v>6.5000000000000002E-2</v>
      </c>
      <c r="H33" s="70">
        <f t="shared" ca="1" si="14"/>
        <v>6.5000000000000002E-2</v>
      </c>
      <c r="I33" s="70">
        <f t="shared" ca="1" si="14"/>
        <v>6.5000000000000002E-2</v>
      </c>
      <c r="J33" s="70">
        <f t="shared" ca="1" si="14"/>
        <v>6.5000000000000002E-2</v>
      </c>
      <c r="K33" s="70">
        <f t="shared" ca="1" si="14"/>
        <v>6.5000000000000002E-2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9" t="s">
        <v>9</v>
      </c>
      <c r="C34" s="1"/>
      <c r="D34" s="1"/>
      <c r="E34" s="1"/>
      <c r="F34" s="71">
        <v>6.5000000000000002E-2</v>
      </c>
      <c r="G34" s="71">
        <v>6.5000000000000002E-2</v>
      </c>
      <c r="H34" s="71">
        <v>6.5000000000000002E-2</v>
      </c>
      <c r="I34" s="71">
        <v>6.5000000000000002E-2</v>
      </c>
      <c r="J34" s="71">
        <v>6.5000000000000002E-2</v>
      </c>
      <c r="K34" s="71">
        <v>6.5000000000000002E-2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9" t="s">
        <v>11</v>
      </c>
      <c r="C35" s="1"/>
      <c r="D35" s="1"/>
      <c r="E35" s="1"/>
      <c r="F35" s="71">
        <v>0.06</v>
      </c>
      <c r="G35" s="71">
        <v>0.06</v>
      </c>
      <c r="H35" s="71">
        <v>0.06</v>
      </c>
      <c r="I35" s="71">
        <v>0.06</v>
      </c>
      <c r="J35" s="71">
        <v>0.06</v>
      </c>
      <c r="K35" s="71">
        <v>0.06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9" t="s">
        <v>12</v>
      </c>
      <c r="C36" s="1"/>
      <c r="D36" s="1"/>
      <c r="E36" s="1"/>
      <c r="F36" s="71">
        <v>0.08</v>
      </c>
      <c r="G36" s="71">
        <v>0.08</v>
      </c>
      <c r="H36" s="71">
        <v>0.08</v>
      </c>
      <c r="I36" s="71">
        <v>0.08</v>
      </c>
      <c r="J36" s="71">
        <v>0.08</v>
      </c>
      <c r="K36" s="71">
        <v>0.08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3" t="str">
        <f>+'Operating Build'!B21</f>
        <v>Selling, General, and Administrative</v>
      </c>
      <c r="C38" s="69">
        <f>+'Operating Build'!C21</f>
        <v>-289916</v>
      </c>
      <c r="D38" s="69">
        <f>+'Operating Build'!D21</f>
        <v>-307605</v>
      </c>
      <c r="E38" s="69">
        <f>+'Operating Build'!E21</f>
        <v>-389430</v>
      </c>
      <c r="F38" s="66">
        <f ca="1">+-F39*'Operating Build'!F10</f>
        <v>-412784.20480000007</v>
      </c>
      <c r="G38" s="66">
        <f ca="1">+-G39*'Operating Build'!G10</f>
        <v>-413697.59129600006</v>
      </c>
      <c r="H38" s="66">
        <f ca="1">+-H39*'Operating Build'!H10</f>
        <v>-452473.14173952007</v>
      </c>
      <c r="I38" s="66">
        <f ca="1">+-I39*'Operating Build'!I10</f>
        <v>-495032.30539530248</v>
      </c>
      <c r="J38" s="66">
        <f ca="1">+-J39*'Operating Build'!J10</f>
        <v>-541759.55962154211</v>
      </c>
      <c r="K38" s="66">
        <f ca="1">+-K39*'Operating Build'!K10</f>
        <v>-593079.95456123457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1" t="s">
        <v>110</v>
      </c>
      <c r="C39" s="70">
        <f>+-C38/'Operating Build'!C10</f>
        <v>0.32319651470914479</v>
      </c>
      <c r="D39" s="70">
        <f>+-D38/'Operating Build'!D10</f>
        <v>0.34476826031598012</v>
      </c>
      <c r="E39" s="70">
        <f>+-E38/'Operating Build'!E10</f>
        <v>0.34401396444226151</v>
      </c>
      <c r="F39" s="70">
        <f t="shared" ref="F39:K39" ca="1" si="15">+OFFSET(F39,$D$4,)</f>
        <v>0.32</v>
      </c>
      <c r="G39" s="70">
        <f t="shared" ca="1" si="15"/>
        <v>0.32</v>
      </c>
      <c r="H39" s="70">
        <f t="shared" ca="1" si="15"/>
        <v>0.32</v>
      </c>
      <c r="I39" s="70">
        <f t="shared" ca="1" si="15"/>
        <v>0.32</v>
      </c>
      <c r="J39" s="70">
        <f t="shared" ca="1" si="15"/>
        <v>0.32</v>
      </c>
      <c r="K39" s="70">
        <f t="shared" ca="1" si="15"/>
        <v>0.32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9" t="s">
        <v>9</v>
      </c>
      <c r="C40" s="1"/>
      <c r="D40" s="1"/>
      <c r="E40" s="1"/>
      <c r="F40" s="71">
        <v>0.32</v>
      </c>
      <c r="G40" s="71">
        <v>0.32</v>
      </c>
      <c r="H40" s="71">
        <v>0.32</v>
      </c>
      <c r="I40" s="71">
        <v>0.32</v>
      </c>
      <c r="J40" s="71">
        <v>0.32</v>
      </c>
      <c r="K40" s="71">
        <v>0.32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9" t="s">
        <v>11</v>
      </c>
      <c r="C41" s="1"/>
      <c r="D41" s="1"/>
      <c r="E41" s="1"/>
      <c r="F41" s="71">
        <v>0.32</v>
      </c>
      <c r="G41" s="71">
        <v>0.32</v>
      </c>
      <c r="H41" s="71">
        <v>0.32</v>
      </c>
      <c r="I41" s="71">
        <v>0.32</v>
      </c>
      <c r="J41" s="71">
        <v>0.32</v>
      </c>
      <c r="K41" s="71">
        <v>0.32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9" t="s">
        <v>12</v>
      </c>
      <c r="C42" s="1"/>
      <c r="D42" s="1"/>
      <c r="E42" s="1"/>
      <c r="F42" s="71">
        <v>0.34</v>
      </c>
      <c r="G42" s="71">
        <v>0.34</v>
      </c>
      <c r="H42" s="71">
        <v>0.34</v>
      </c>
      <c r="I42" s="71">
        <v>0.34</v>
      </c>
      <c r="J42" s="71">
        <v>0.34</v>
      </c>
      <c r="K42" s="71">
        <v>0.34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3" t="s">
        <v>111</v>
      </c>
      <c r="C44" s="69">
        <f>+'Operating Build'!C27</f>
        <v>53559</v>
      </c>
      <c r="D44" s="69">
        <f>+'Operating Build'!D27</f>
        <v>61067</v>
      </c>
      <c r="E44" s="69">
        <f>+'Operating Build'!E27</f>
        <v>72990</v>
      </c>
      <c r="F44" s="66">
        <f ca="1">+F45*-'Operating Build'!F38</f>
        <v>83588.801472000021</v>
      </c>
      <c r="G44" s="66">
        <f ca="1">+G45*-'Operating Build'!G38</f>
        <v>83773.762237440009</v>
      </c>
      <c r="H44" s="66">
        <f ca="1">+H45*-'Operating Build'!H38</f>
        <v>91625.811202252822</v>
      </c>
      <c r="I44" s="66">
        <f ca="1">+I45*-'Operating Build'!I38</f>
        <v>100244.04184254874</v>
      </c>
      <c r="J44" s="66">
        <f ca="1">+J45*-'Operating Build'!J38</f>
        <v>109706.31082336228</v>
      </c>
      <c r="K44" s="66">
        <f ca="1">+K45*-'Operating Build'!K38</f>
        <v>120098.69079865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1" t="s">
        <v>112</v>
      </c>
      <c r="C45" s="70">
        <f>+C44/-'Operating Build'!C38</f>
        <v>3.369762174405436</v>
      </c>
      <c r="D45" s="70">
        <f>+D44/-'Operating Build'!D38</f>
        <v>2.6734524122230976</v>
      </c>
      <c r="E45" s="70">
        <f>+E44/-'Operating Build'!E38</f>
        <v>2.5197638692305038</v>
      </c>
      <c r="F45" s="70">
        <f t="shared" ref="F45:K45" ca="1" si="16">+OFFSET(F45,$D$4,)</f>
        <v>2.7</v>
      </c>
      <c r="G45" s="70">
        <f t="shared" ca="1" si="16"/>
        <v>2.7</v>
      </c>
      <c r="H45" s="70">
        <f t="shared" ca="1" si="16"/>
        <v>2.7</v>
      </c>
      <c r="I45" s="70">
        <f t="shared" ca="1" si="16"/>
        <v>2.7</v>
      </c>
      <c r="J45" s="70">
        <f t="shared" ca="1" si="16"/>
        <v>2.7</v>
      </c>
      <c r="K45" s="70">
        <f t="shared" ca="1" si="16"/>
        <v>2.7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9" t="s">
        <v>9</v>
      </c>
      <c r="C46" s="1"/>
      <c r="D46" s="1"/>
      <c r="E46" s="1"/>
      <c r="F46" s="71">
        <v>2.7</v>
      </c>
      <c r="G46" s="71">
        <v>2.7</v>
      </c>
      <c r="H46" s="71">
        <v>2.7</v>
      </c>
      <c r="I46" s="71">
        <v>2.7</v>
      </c>
      <c r="J46" s="71">
        <v>2.7</v>
      </c>
      <c r="K46" s="71">
        <v>2.7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9" t="s">
        <v>11</v>
      </c>
      <c r="C47" s="1"/>
      <c r="D47" s="1"/>
      <c r="E47" s="1"/>
      <c r="F47" s="71">
        <v>2.7</v>
      </c>
      <c r="G47" s="71">
        <v>2.7</v>
      </c>
      <c r="H47" s="71">
        <v>2.7</v>
      </c>
      <c r="I47" s="71">
        <v>2.7</v>
      </c>
      <c r="J47" s="71">
        <v>2.7</v>
      </c>
      <c r="K47" s="71">
        <v>2.7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9" t="s">
        <v>12</v>
      </c>
      <c r="C48" s="1"/>
      <c r="D48" s="1"/>
      <c r="E48" s="1"/>
      <c r="F48" s="71">
        <v>2.7</v>
      </c>
      <c r="G48" s="71">
        <v>2.7</v>
      </c>
      <c r="H48" s="71">
        <v>2.7</v>
      </c>
      <c r="I48" s="71">
        <v>2.7</v>
      </c>
      <c r="J48" s="71">
        <v>2.7</v>
      </c>
      <c r="K48" s="71">
        <v>2.7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3" t="s">
        <v>113</v>
      </c>
      <c r="C50" s="69">
        <f>+'Operating Build'!C32</f>
        <v>-4419</v>
      </c>
      <c r="D50" s="69">
        <f>+'Operating Build'!D32</f>
        <v>-6177</v>
      </c>
      <c r="E50" s="69">
        <f>+'Operating Build'!E32</f>
        <v>-23500</v>
      </c>
      <c r="F50" s="66">
        <f t="shared" ref="F50:K50" ca="1" si="17">+E50*(1+F51)</f>
        <v>-5405</v>
      </c>
      <c r="G50" s="66">
        <f t="shared" ca="1" si="17"/>
        <v>-8107.5</v>
      </c>
      <c r="H50" s="66">
        <f t="shared" ca="1" si="17"/>
        <v>-8918.25</v>
      </c>
      <c r="I50" s="66">
        <f t="shared" ca="1" si="17"/>
        <v>-10701.9</v>
      </c>
      <c r="J50" s="66">
        <f t="shared" ca="1" si="17"/>
        <v>-12842.279999999999</v>
      </c>
      <c r="K50" s="66">
        <f t="shared" ca="1" si="17"/>
        <v>-15410.735999999997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1" t="s">
        <v>114</v>
      </c>
      <c r="C51" s="70"/>
      <c r="D51" s="70">
        <f t="shared" ref="D51:E51" si="18">+D50/C50-1</f>
        <v>0.39782756279701292</v>
      </c>
      <c r="E51" s="70">
        <f t="shared" si="18"/>
        <v>2.804435810263882</v>
      </c>
      <c r="F51" s="70">
        <f t="shared" ref="F51:K51" ca="1" si="19">+OFFSET(F51,$D$4,)</f>
        <v>-0.77</v>
      </c>
      <c r="G51" s="70">
        <f t="shared" ca="1" si="19"/>
        <v>0.5</v>
      </c>
      <c r="H51" s="70">
        <f t="shared" ca="1" si="19"/>
        <v>0.1</v>
      </c>
      <c r="I51" s="70">
        <f t="shared" ca="1" si="19"/>
        <v>0.2</v>
      </c>
      <c r="J51" s="70">
        <f t="shared" ca="1" si="19"/>
        <v>0.2</v>
      </c>
      <c r="K51" s="70">
        <f t="shared" ca="1" si="19"/>
        <v>0.2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9" t="s">
        <v>9</v>
      </c>
      <c r="C52" s="1"/>
      <c r="D52" s="1"/>
      <c r="E52" s="1"/>
      <c r="F52" s="71">
        <v>-0.77</v>
      </c>
      <c r="G52" s="71">
        <v>0.5</v>
      </c>
      <c r="H52" s="71">
        <v>0.1</v>
      </c>
      <c r="I52" s="71">
        <v>0.2</v>
      </c>
      <c r="J52" s="71">
        <v>0.2</v>
      </c>
      <c r="K52" s="71">
        <v>0.2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9" t="s">
        <v>11</v>
      </c>
      <c r="C53" s="1"/>
      <c r="D53" s="1"/>
      <c r="E53" s="1"/>
      <c r="F53" s="71">
        <v>-0.77</v>
      </c>
      <c r="G53" s="71">
        <v>0.5</v>
      </c>
      <c r="H53" s="71">
        <v>0.1</v>
      </c>
      <c r="I53" s="71">
        <v>0.2</v>
      </c>
      <c r="J53" s="71">
        <v>0.2</v>
      </c>
      <c r="K53" s="71">
        <v>0.2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9" t="s">
        <v>12</v>
      </c>
      <c r="C54" s="1"/>
      <c r="D54" s="1"/>
      <c r="E54" s="1"/>
      <c r="F54" s="71">
        <v>-0.77</v>
      </c>
      <c r="G54" s="71">
        <v>0.5</v>
      </c>
      <c r="H54" s="71">
        <v>0.1</v>
      </c>
      <c r="I54" s="71">
        <v>0.2</v>
      </c>
      <c r="J54" s="71">
        <v>0.2</v>
      </c>
      <c r="K54" s="71">
        <v>0.2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3" t="s">
        <v>115</v>
      </c>
      <c r="C56" s="69">
        <f>+'Operating Build'!C33</f>
        <v>-12595</v>
      </c>
      <c r="D56" s="69">
        <f>+'Operating Build'!D33</f>
        <v>-2845</v>
      </c>
      <c r="E56" s="69">
        <f>+'Operating Build'!E33</f>
        <v>-11842</v>
      </c>
      <c r="F56" s="66">
        <f ca="1">+-F57*('Operating Build'!F24+'Operating Build'!F32)</f>
        <v>-5297.9789040000032</v>
      </c>
      <c r="G56" s="66">
        <f ca="1">+-G57*('Operating Build'!G24+'Operating Build'!G32)</f>
        <v>-8100.3975955200076</v>
      </c>
      <c r="H56" s="66">
        <f ca="1">+-H57*('Operating Build'!H24+'Operating Build'!H32)</f>
        <v>-21793.322241504007</v>
      </c>
      <c r="I56" s="66">
        <f ca="1">+-I57*('Operating Build'!I24+'Operating Build'!I32)</f>
        <v>-23778.811315860494</v>
      </c>
      <c r="J56" s="66">
        <f ca="1">+-J57*('Operating Build'!J24+'Operating Build'!J32)</f>
        <v>-25939.340031569816</v>
      </c>
      <c r="K56" s="66">
        <f ca="1">+-K57*('Operating Build'!K24+'Operating Build'!K32)</f>
        <v>-28288.28716578877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1" t="s">
        <v>40</v>
      </c>
      <c r="C57" s="70">
        <f>+-C56/('Operating Build'!C24+'Operating Build'!C32)</f>
        <v>0.17035694480137423</v>
      </c>
      <c r="D57" s="70">
        <f>+-D56/('Operating Build'!D24+'Operating Build'!D32)</f>
        <v>9.6936863266210094E-2</v>
      </c>
      <c r="E57" s="70">
        <f>+-E56/('Operating Build'!E24+'Operating Build'!E32)</f>
        <v>0.17940521459845168</v>
      </c>
      <c r="F57" s="70">
        <f t="shared" ref="F57:K57" ca="1" si="20">+OFFSET(F57,$D$4,)</f>
        <v>0.06</v>
      </c>
      <c r="G57" s="70">
        <f t="shared" ca="1" si="20"/>
        <v>0.09</v>
      </c>
      <c r="H57" s="70">
        <f t="shared" ca="1" si="20"/>
        <v>0.15</v>
      </c>
      <c r="I57" s="70">
        <f t="shared" ca="1" si="20"/>
        <v>0.15</v>
      </c>
      <c r="J57" s="70">
        <f t="shared" ca="1" si="20"/>
        <v>0.15</v>
      </c>
      <c r="K57" s="70">
        <f t="shared" ca="1" si="20"/>
        <v>0.15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9" t="s">
        <v>9</v>
      </c>
      <c r="C58" s="1"/>
      <c r="D58" s="1"/>
      <c r="E58" s="1"/>
      <c r="F58" s="71">
        <v>0.06</v>
      </c>
      <c r="G58" s="71">
        <v>0.09</v>
      </c>
      <c r="H58" s="71">
        <v>0.15</v>
      </c>
      <c r="I58" s="71">
        <v>0.15</v>
      </c>
      <c r="J58" s="71">
        <v>0.15</v>
      </c>
      <c r="K58" s="71">
        <v>0.15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9" t="s">
        <v>11</v>
      </c>
      <c r="C59" s="1"/>
      <c r="D59" s="1"/>
      <c r="E59" s="1"/>
      <c r="F59" s="71">
        <v>0.06</v>
      </c>
      <c r="G59" s="71">
        <v>0.09</v>
      </c>
      <c r="H59" s="71">
        <v>0.15</v>
      </c>
      <c r="I59" s="71">
        <v>0.15</v>
      </c>
      <c r="J59" s="71">
        <v>0.15</v>
      </c>
      <c r="K59" s="71">
        <v>0.15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9" t="s">
        <v>12</v>
      </c>
      <c r="C60" s="1"/>
      <c r="D60" s="1"/>
      <c r="E60" s="1"/>
      <c r="F60" s="71">
        <v>0.06</v>
      </c>
      <c r="G60" s="71">
        <v>0.09</v>
      </c>
      <c r="H60" s="71">
        <v>0.15</v>
      </c>
      <c r="I60" s="71">
        <v>0.15</v>
      </c>
      <c r="J60" s="71">
        <v>0.15</v>
      </c>
      <c r="K60" s="71">
        <v>0.15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3" t="s">
        <v>116</v>
      </c>
      <c r="C62" s="69">
        <f>+'Operating Build'!C38</f>
        <v>-15894</v>
      </c>
      <c r="D62" s="69">
        <f>+'Operating Build'!D38</f>
        <v>-22842</v>
      </c>
      <c r="E62" s="69">
        <f>+'Operating Build'!E38</f>
        <v>-28967</v>
      </c>
      <c r="F62" s="66">
        <f ca="1">+-F63*'Operating Build'!F10</f>
        <v>-30958.815360000004</v>
      </c>
      <c r="G62" s="66">
        <f ca="1">+-G63*'Operating Build'!G10</f>
        <v>-31027.319347200002</v>
      </c>
      <c r="H62" s="66">
        <f ca="1">+-H63*'Operating Build'!H10</f>
        <v>-33935.485630464005</v>
      </c>
      <c r="I62" s="66">
        <f ca="1">+-I63*'Operating Build'!I10</f>
        <v>-37127.422904647683</v>
      </c>
      <c r="J62" s="66">
        <f ca="1">+-J63*'Operating Build'!J10</f>
        <v>-40631.966971615657</v>
      </c>
      <c r="K62" s="66">
        <f ca="1">+-K63*'Operating Build'!K10</f>
        <v>-44480.99659209259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1" t="s">
        <v>110</v>
      </c>
      <c r="C63" s="70">
        <f>+-C62/'Operating Build'!C10</f>
        <v>1.7718530211465206E-2</v>
      </c>
      <c r="D63" s="70">
        <f>+-D62/'Operating Build'!D10</f>
        <v>2.5601653426106916E-2</v>
      </c>
      <c r="E63" s="70">
        <f>+-E62/'Operating Build'!E10</f>
        <v>2.5588815725545E-2</v>
      </c>
      <c r="F63" s="70">
        <f t="shared" ref="F63:K63" ca="1" si="21">+OFFSET(F63,$D$4,)</f>
        <v>2.4E-2</v>
      </c>
      <c r="G63" s="70">
        <f t="shared" ca="1" si="21"/>
        <v>2.4E-2</v>
      </c>
      <c r="H63" s="70">
        <f t="shared" ca="1" si="21"/>
        <v>2.4E-2</v>
      </c>
      <c r="I63" s="70">
        <f t="shared" ca="1" si="21"/>
        <v>2.4E-2</v>
      </c>
      <c r="J63" s="70">
        <f t="shared" ca="1" si="21"/>
        <v>2.4E-2</v>
      </c>
      <c r="K63" s="70">
        <f t="shared" ca="1" si="21"/>
        <v>2.4E-2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9" t="s">
        <v>9</v>
      </c>
      <c r="C64" s="1"/>
      <c r="D64" s="1"/>
      <c r="E64" s="1"/>
      <c r="F64" s="71">
        <v>2.4E-2</v>
      </c>
      <c r="G64" s="71">
        <v>2.4E-2</v>
      </c>
      <c r="H64" s="71">
        <v>2.4E-2</v>
      </c>
      <c r="I64" s="71">
        <v>2.4E-2</v>
      </c>
      <c r="J64" s="71">
        <v>2.4E-2</v>
      </c>
      <c r="K64" s="71">
        <v>2.4E-2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9" t="s">
        <v>11</v>
      </c>
      <c r="C65" s="1"/>
      <c r="D65" s="1"/>
      <c r="E65" s="1"/>
      <c r="F65" s="71">
        <v>2.4E-2</v>
      </c>
      <c r="G65" s="71">
        <v>2.4E-2</v>
      </c>
      <c r="H65" s="71">
        <v>2.4E-2</v>
      </c>
      <c r="I65" s="71">
        <v>2.4E-2</v>
      </c>
      <c r="J65" s="71">
        <v>2.4E-2</v>
      </c>
      <c r="K65" s="71">
        <v>2.4E-2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9" t="s">
        <v>12</v>
      </c>
      <c r="C66" s="1"/>
      <c r="D66" s="1"/>
      <c r="E66" s="1"/>
      <c r="F66" s="71">
        <v>2.4E-2</v>
      </c>
      <c r="G66" s="71">
        <v>2.4E-2</v>
      </c>
      <c r="H66" s="71">
        <v>2.4E-2</v>
      </c>
      <c r="I66" s="71">
        <v>2.4E-2</v>
      </c>
      <c r="J66" s="71">
        <v>2.4E-2</v>
      </c>
      <c r="K66" s="71">
        <v>2.4E-2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3" t="s">
        <v>117</v>
      </c>
      <c r="C68" s="69">
        <f>+'Operating Build'!C40</f>
        <v>228.1</v>
      </c>
      <c r="D68" s="69">
        <f>+'Operating Build'!D40</f>
        <v>200.4</v>
      </c>
      <c r="E68" s="69">
        <f>+'Operating Build'!E40</f>
        <v>251.6</v>
      </c>
      <c r="F68" s="66">
        <f ca="1">+(F69*'Operating Build'!F10)/365</f>
        <v>353.41113424657539</v>
      </c>
      <c r="G68" s="66">
        <f ca="1">+(G69*'Operating Build'!G10)/365</f>
        <v>354.19314323287676</v>
      </c>
      <c r="H68" s="66">
        <f ca="1">+(H69*'Operating Build'!H10)/365</f>
        <v>387.39138847561651</v>
      </c>
      <c r="I68" s="66">
        <f ca="1">+(I69*'Operating Build'!I10)/365</f>
        <v>423.82902859186856</v>
      </c>
      <c r="J68" s="66">
        <f ca="1">+(J69*'Operating Build'!J10)/365</f>
        <v>463.83523940200524</v>
      </c>
      <c r="K68" s="66">
        <f ca="1">+(K69*'Operating Build'!K10)/365</f>
        <v>507.77393369968718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1" t="s">
        <v>118</v>
      </c>
      <c r="C69" s="73">
        <f>+(C68/'Operating Build'!C10)*365</f>
        <v>9.2813817198367482E-2</v>
      </c>
      <c r="D69" s="73">
        <f>+(D68/'Operating Build'!D10)*365</f>
        <v>8.1983125011208149E-2</v>
      </c>
      <c r="E69" s="73">
        <f>+(E68/'Operating Build'!E10)*365</f>
        <v>8.1124151736103142E-2</v>
      </c>
      <c r="F69" s="73">
        <f t="shared" ref="F69:K69" ca="1" si="22">+OFFSET(F69,$D$4,)</f>
        <v>0.1</v>
      </c>
      <c r="G69" s="73">
        <f t="shared" ca="1" si="22"/>
        <v>0.1</v>
      </c>
      <c r="H69" s="73">
        <f t="shared" ca="1" si="22"/>
        <v>0.1</v>
      </c>
      <c r="I69" s="73">
        <f t="shared" ca="1" si="22"/>
        <v>0.1</v>
      </c>
      <c r="J69" s="73">
        <f t="shared" ca="1" si="22"/>
        <v>0.1</v>
      </c>
      <c r="K69" s="73">
        <f t="shared" ca="1" si="22"/>
        <v>0.1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9" t="s">
        <v>9</v>
      </c>
      <c r="C70" s="1"/>
      <c r="D70" s="1"/>
      <c r="E70" s="1"/>
      <c r="F70" s="74">
        <v>0.1</v>
      </c>
      <c r="G70" s="74">
        <v>0.1</v>
      </c>
      <c r="H70" s="74">
        <v>0.1</v>
      </c>
      <c r="I70" s="74">
        <v>0.1</v>
      </c>
      <c r="J70" s="74">
        <v>0.1</v>
      </c>
      <c r="K70" s="74">
        <v>0.1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9" t="s">
        <v>11</v>
      </c>
      <c r="C71" s="1"/>
      <c r="D71" s="1"/>
      <c r="E71" s="1"/>
      <c r="F71" s="74">
        <v>0.1</v>
      </c>
      <c r="G71" s="74">
        <v>0.1</v>
      </c>
      <c r="H71" s="74">
        <v>0.1</v>
      </c>
      <c r="I71" s="74">
        <v>0.1</v>
      </c>
      <c r="J71" s="74">
        <v>0.1</v>
      </c>
      <c r="K71" s="74">
        <v>0.1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9" t="s">
        <v>12</v>
      </c>
      <c r="C72" s="1"/>
      <c r="D72" s="1"/>
      <c r="E72" s="1"/>
      <c r="F72" s="74">
        <v>0.1</v>
      </c>
      <c r="G72" s="74">
        <v>0.1</v>
      </c>
      <c r="H72" s="74">
        <v>0.1</v>
      </c>
      <c r="I72" s="74">
        <v>0.1</v>
      </c>
      <c r="J72" s="74">
        <v>0.1</v>
      </c>
      <c r="K72" s="74">
        <v>0.1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3" t="s">
        <v>119</v>
      </c>
      <c r="C74" s="69">
        <f>+'Operating Build'!C41</f>
        <v>108</v>
      </c>
      <c r="D74" s="69">
        <f>+'Operating Build'!D41</f>
        <v>96.3</v>
      </c>
      <c r="E74" s="69">
        <f>+'Operating Build'!E41</f>
        <v>119.9</v>
      </c>
      <c r="F74" s="66">
        <f ca="1">+(F75*-'Operating Build'!F15)/365</f>
        <v>134.17273880547947</v>
      </c>
      <c r="G74" s="66">
        <f ca="1">+(G75*-'Operating Build'!G15)/365</f>
        <v>133.66416393994521</v>
      </c>
      <c r="H74" s="66">
        <f ca="1">+(H75*-'Operating Build'!H15)/365</f>
        <v>137.1980350783825</v>
      </c>
      <c r="I74" s="66">
        <f ca="1">+(I75*-'Operating Build'!I15)/365</f>
        <v>150.00384444148921</v>
      </c>
      <c r="J74" s="66">
        <f ca="1">+(J75*-'Operating Build'!J15)/365</f>
        <v>164.05371454046485</v>
      </c>
      <c r="K74" s="66">
        <f ca="1">+(K75*-'Operating Build'!K15)/365</f>
        <v>179.47352175259726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1" t="s">
        <v>120</v>
      </c>
      <c r="C75" s="73">
        <f>+(C74/-'Operating Build'!C15)*365</f>
        <v>8.567423361550916E-2</v>
      </c>
      <c r="D75" s="73">
        <f>+(D74/-'Operating Build'!D15)*365</f>
        <v>7.3393872829473225E-2</v>
      </c>
      <c r="E75" s="73">
        <f>+(E74/-'Operating Build'!E15)*365</f>
        <v>7.5798671550925331E-2</v>
      </c>
      <c r="F75" s="73">
        <f t="shared" ref="F75:K75" ca="1" si="23">+OFFSET(F75,$D$4,)</f>
        <v>7.0000000000000007E-2</v>
      </c>
      <c r="G75" s="73">
        <f t="shared" ca="1" si="23"/>
        <v>7.0000000000000007E-2</v>
      </c>
      <c r="H75" s="73">
        <f t="shared" ca="1" si="23"/>
        <v>7.0000000000000007E-2</v>
      </c>
      <c r="I75" s="73">
        <f t="shared" ca="1" si="23"/>
        <v>7.0000000000000007E-2</v>
      </c>
      <c r="J75" s="73">
        <f t="shared" ca="1" si="23"/>
        <v>7.0000000000000007E-2</v>
      </c>
      <c r="K75" s="73">
        <f t="shared" ca="1" si="23"/>
        <v>7.0000000000000007E-2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9" t="s">
        <v>9</v>
      </c>
      <c r="C76" s="1"/>
      <c r="D76" s="1"/>
      <c r="E76" s="1"/>
      <c r="F76" s="74">
        <v>7.0000000000000007E-2</v>
      </c>
      <c r="G76" s="74">
        <v>7.0000000000000007E-2</v>
      </c>
      <c r="H76" s="74">
        <v>7.0000000000000007E-2</v>
      </c>
      <c r="I76" s="74">
        <v>7.0000000000000007E-2</v>
      </c>
      <c r="J76" s="74">
        <v>7.0000000000000007E-2</v>
      </c>
      <c r="K76" s="74">
        <v>7.0000000000000007E-2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9" t="s">
        <v>11</v>
      </c>
      <c r="C77" s="1"/>
      <c r="D77" s="1"/>
      <c r="E77" s="1"/>
      <c r="F77" s="74">
        <v>7.0000000000000007E-2</v>
      </c>
      <c r="G77" s="74">
        <v>7.0000000000000007E-2</v>
      </c>
      <c r="H77" s="74">
        <v>7.0000000000000007E-2</v>
      </c>
      <c r="I77" s="74">
        <v>7.0000000000000007E-2</v>
      </c>
      <c r="J77" s="74">
        <v>7.0000000000000007E-2</v>
      </c>
      <c r="K77" s="74">
        <v>7.0000000000000007E-2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9" t="s">
        <v>12</v>
      </c>
      <c r="C78" s="1"/>
      <c r="D78" s="1"/>
      <c r="E78" s="1"/>
      <c r="F78" s="74">
        <v>7.0000000000000007E-2</v>
      </c>
      <c r="G78" s="74">
        <v>7.0000000000000007E-2</v>
      </c>
      <c r="H78" s="74">
        <v>7.0000000000000007E-2</v>
      </c>
      <c r="I78" s="74">
        <v>7.0000000000000007E-2</v>
      </c>
      <c r="J78" s="74">
        <v>7.0000000000000007E-2</v>
      </c>
      <c r="K78" s="74">
        <v>7.0000000000000007E-2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3" t="s">
        <v>98</v>
      </c>
      <c r="C80" s="69">
        <f>+'Operating Build'!C42</f>
        <v>5.4</v>
      </c>
      <c r="D80" s="69">
        <f>+'Operating Build'!D42</f>
        <v>26.8</v>
      </c>
      <c r="E80" s="69">
        <f>+'Operating Build'!E42</f>
        <v>31.1</v>
      </c>
      <c r="F80" s="66">
        <f ca="1">+F81*'Operating Build'!F10</f>
        <v>38.698519200000007</v>
      </c>
      <c r="G80" s="66">
        <f ca="1">+G81*'Operating Build'!G10</f>
        <v>38.784149184000007</v>
      </c>
      <c r="H80" s="66">
        <f ca="1">+H81*'Operating Build'!H10</f>
        <v>42.419357038080008</v>
      </c>
      <c r="I80" s="66">
        <f ca="1">+I81*'Operating Build'!I10</f>
        <v>46.409278630809609</v>
      </c>
      <c r="J80" s="66">
        <f ca="1">+J81*'Operating Build'!J10</f>
        <v>50.789958714519571</v>
      </c>
      <c r="K80" s="66">
        <f ca="1">+K81*'Operating Build'!K10</f>
        <v>55.601245740115743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1" t="s">
        <v>110</v>
      </c>
      <c r="C81" s="70">
        <f>+C80/'Operating Build'!C10</f>
        <v>6.0198856890595267E-6</v>
      </c>
      <c r="D81" s="70">
        <f>+D80/'Operating Build'!D10</f>
        <v>3.0037838710255906E-5</v>
      </c>
      <c r="E81" s="70">
        <f>+E80/'Operating Build'!E10</f>
        <v>2.7473061382416181E-5</v>
      </c>
      <c r="F81" s="70">
        <f t="shared" ref="F81:K81" ca="1" si="24">+OFFSET(F81,$D$4,)</f>
        <v>3.0000000000000001E-5</v>
      </c>
      <c r="G81" s="70">
        <f t="shared" ca="1" si="24"/>
        <v>3.0000000000000001E-5</v>
      </c>
      <c r="H81" s="70">
        <f t="shared" ca="1" si="24"/>
        <v>3.0000000000000001E-5</v>
      </c>
      <c r="I81" s="70">
        <f t="shared" ca="1" si="24"/>
        <v>3.0000000000000001E-5</v>
      </c>
      <c r="J81" s="70">
        <f t="shared" ca="1" si="24"/>
        <v>3.0000000000000001E-5</v>
      </c>
      <c r="K81" s="70">
        <f t="shared" ca="1" si="24"/>
        <v>3.0000000000000001E-5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9" t="s">
        <v>9</v>
      </c>
      <c r="C82" s="1"/>
      <c r="D82" s="1"/>
      <c r="E82" s="1"/>
      <c r="F82" s="71">
        <v>3.0000000000000001E-5</v>
      </c>
      <c r="G82" s="71">
        <v>3.0000000000000001E-5</v>
      </c>
      <c r="H82" s="71">
        <v>3.0000000000000001E-5</v>
      </c>
      <c r="I82" s="71">
        <v>3.0000000000000001E-5</v>
      </c>
      <c r="J82" s="71">
        <v>3.0000000000000001E-5</v>
      </c>
      <c r="K82" s="71">
        <v>3.0000000000000001E-5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9" t="s">
        <v>11</v>
      </c>
      <c r="C83" s="1"/>
      <c r="D83" s="1"/>
      <c r="E83" s="1"/>
      <c r="F83" s="71">
        <v>3.0000000000000001E-5</v>
      </c>
      <c r="G83" s="71">
        <v>3.0000000000000001E-5</v>
      </c>
      <c r="H83" s="71">
        <v>3.0000000000000001E-5</v>
      </c>
      <c r="I83" s="71">
        <v>3.0000000000000001E-5</v>
      </c>
      <c r="J83" s="71">
        <v>3.0000000000000001E-5</v>
      </c>
      <c r="K83" s="71">
        <v>3.0000000000000001E-5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9" t="s">
        <v>12</v>
      </c>
      <c r="C84" s="1"/>
      <c r="D84" s="1"/>
      <c r="E84" s="1"/>
      <c r="F84" s="71">
        <v>3.0000000000000001E-5</v>
      </c>
      <c r="G84" s="71">
        <v>3.0000000000000001E-5</v>
      </c>
      <c r="H84" s="71">
        <v>3.0000000000000001E-5</v>
      </c>
      <c r="I84" s="71">
        <v>3.0000000000000001E-5</v>
      </c>
      <c r="J84" s="71">
        <v>3.0000000000000001E-5</v>
      </c>
      <c r="K84" s="71">
        <v>3.0000000000000001E-5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3" t="s">
        <v>121</v>
      </c>
      <c r="C86" s="69">
        <f>+'Operating Build'!C45</f>
        <v>46.4</v>
      </c>
      <c r="D86" s="69">
        <f>+'Operating Build'!D45</f>
        <v>40.299999999999997</v>
      </c>
      <c r="E86" s="69">
        <f>+'Operating Build'!E45</f>
        <v>71.5</v>
      </c>
      <c r="F86" s="66">
        <f ca="1">+(-'Operating Build'!F15*Assumptions!F87)/365</f>
        <v>86.253903517808212</v>
      </c>
      <c r="G86" s="66">
        <f ca="1">+(-'Operating Build'!G15*Assumptions!G87)/365</f>
        <v>85.926962532821904</v>
      </c>
      <c r="H86" s="66">
        <f ca="1">+(-'Operating Build'!H15*Assumptions!H87)/365</f>
        <v>68.599017539191252</v>
      </c>
      <c r="I86" s="66">
        <f ca="1">+(-'Operating Build'!I15*Assumptions!I87)/365</f>
        <v>75.001922220744603</v>
      </c>
      <c r="J86" s="66">
        <f ca="1">+(-'Operating Build'!J15*Assumptions!J87)/365</f>
        <v>82.026857270232426</v>
      </c>
      <c r="K86" s="66">
        <f ca="1">+(-'Operating Build'!K15*Assumptions!K87)/365</f>
        <v>89.736760876298632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1" t="s">
        <v>122</v>
      </c>
      <c r="C87" s="73">
        <f>+(C86/-'Operating Build'!C15)*365</f>
        <v>3.6808189257033566E-2</v>
      </c>
      <c r="D87" s="73">
        <f>+(D86/-'Operating Build'!D15)*365</f>
        <v>3.0714154465501256E-2</v>
      </c>
      <c r="E87" s="73">
        <f>+(E86/-'Operating Build'!E15)*365</f>
        <v>4.5201042667982992E-2</v>
      </c>
      <c r="F87" s="73">
        <f t="shared" ref="F87:K87" ca="1" si="25">+OFFSET(F87,$D$4,)</f>
        <v>4.4999999999999998E-2</v>
      </c>
      <c r="G87" s="73">
        <f t="shared" ca="1" si="25"/>
        <v>4.4999999999999998E-2</v>
      </c>
      <c r="H87" s="73">
        <f t="shared" ca="1" si="25"/>
        <v>3.5000000000000003E-2</v>
      </c>
      <c r="I87" s="73">
        <f t="shared" ca="1" si="25"/>
        <v>3.5000000000000003E-2</v>
      </c>
      <c r="J87" s="73">
        <f t="shared" ca="1" si="25"/>
        <v>3.5000000000000003E-2</v>
      </c>
      <c r="K87" s="73">
        <f t="shared" ca="1" si="25"/>
        <v>3.5000000000000003E-2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9" t="s">
        <v>9</v>
      </c>
      <c r="C88" s="1"/>
      <c r="D88" s="1"/>
      <c r="E88" s="1"/>
      <c r="F88" s="74">
        <f t="shared" ref="F88:G88" si="26">0.045</f>
        <v>4.4999999999999998E-2</v>
      </c>
      <c r="G88" s="74">
        <f t="shared" si="26"/>
        <v>4.4999999999999998E-2</v>
      </c>
      <c r="H88" s="74">
        <v>3.5000000000000003E-2</v>
      </c>
      <c r="I88" s="74">
        <v>3.5000000000000003E-2</v>
      </c>
      <c r="J88" s="74">
        <v>3.5000000000000003E-2</v>
      </c>
      <c r="K88" s="74">
        <v>3.5000000000000003E-2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9" t="s">
        <v>11</v>
      </c>
      <c r="C89" s="1"/>
      <c r="D89" s="1"/>
      <c r="E89" s="1"/>
      <c r="F89" s="74">
        <f t="shared" ref="F89:G89" si="27">0.045</f>
        <v>4.4999999999999998E-2</v>
      </c>
      <c r="G89" s="74">
        <f t="shared" si="27"/>
        <v>4.4999999999999998E-2</v>
      </c>
      <c r="H89" s="74">
        <v>3.5000000000000003E-2</v>
      </c>
      <c r="I89" s="74">
        <v>3.5000000000000003E-2</v>
      </c>
      <c r="J89" s="74">
        <v>3.5000000000000003E-2</v>
      </c>
      <c r="K89" s="74">
        <v>3.5000000000000003E-2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9" t="s">
        <v>12</v>
      </c>
      <c r="C90" s="1"/>
      <c r="D90" s="1"/>
      <c r="E90" s="1"/>
      <c r="F90" s="74">
        <f t="shared" ref="F90:G90" si="28">0.045</f>
        <v>4.4999999999999998E-2</v>
      </c>
      <c r="G90" s="74">
        <f t="shared" si="28"/>
        <v>4.4999999999999998E-2</v>
      </c>
      <c r="H90" s="74">
        <v>3.5000000000000003E-2</v>
      </c>
      <c r="I90" s="74">
        <v>3.5000000000000003E-2</v>
      </c>
      <c r="J90" s="74">
        <v>3.5000000000000003E-2</v>
      </c>
      <c r="K90" s="74">
        <v>3.5000000000000003E-2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3" t="s">
        <v>123</v>
      </c>
      <c r="C92" s="69">
        <f>+'Operating Build'!C46</f>
        <v>0</v>
      </c>
      <c r="D92" s="69">
        <f>+'Operating Build'!D46</f>
        <v>18.2</v>
      </c>
      <c r="E92" s="69">
        <f>+'Operating Build'!E46</f>
        <v>31.7</v>
      </c>
      <c r="F92" s="66">
        <f ca="1">+F93*'Operating Build'!F10</f>
        <v>25.799012800000003</v>
      </c>
      <c r="G92" s="66">
        <f ca="1">+G93*'Operating Build'!G10</f>
        <v>25.856099456000003</v>
      </c>
      <c r="H92" s="66">
        <f ca="1">+H93*'Operating Build'!H10</f>
        <v>28.279571358720005</v>
      </c>
      <c r="I92" s="66">
        <f ca="1">+I93*'Operating Build'!I10</f>
        <v>30.939519087206406</v>
      </c>
      <c r="J92" s="66">
        <f ca="1">+J93*'Operating Build'!J10</f>
        <v>33.859972476346385</v>
      </c>
      <c r="K92" s="66">
        <f ca="1">+K93*'Operating Build'!K10</f>
        <v>37.06749716007716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1" t="s">
        <v>110</v>
      </c>
      <c r="C93" s="70">
        <f>+C92/'Operating Build'!C10</f>
        <v>0</v>
      </c>
      <c r="D93" s="70">
        <f>+D92/'Operating Build'!D10</f>
        <v>2.0398830765920053E-5</v>
      </c>
      <c r="E93" s="70">
        <f>+E92/'Operating Build'!E10</f>
        <v>2.8003088290115527E-5</v>
      </c>
      <c r="F93" s="70">
        <f t="shared" ref="F93:K93" ca="1" si="29">+OFFSET(F93,$D$4,)</f>
        <v>2.0000000000000002E-5</v>
      </c>
      <c r="G93" s="70">
        <f t="shared" ca="1" si="29"/>
        <v>2.0000000000000002E-5</v>
      </c>
      <c r="H93" s="70">
        <f t="shared" ca="1" si="29"/>
        <v>2.0000000000000002E-5</v>
      </c>
      <c r="I93" s="70">
        <f t="shared" ca="1" si="29"/>
        <v>2.0000000000000002E-5</v>
      </c>
      <c r="J93" s="70">
        <f t="shared" ca="1" si="29"/>
        <v>2.0000000000000002E-5</v>
      </c>
      <c r="K93" s="70">
        <f t="shared" ca="1" si="29"/>
        <v>2.0000000000000002E-5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9" t="s">
        <v>9</v>
      </c>
      <c r="C94" s="1"/>
      <c r="D94" s="1"/>
      <c r="E94" s="1"/>
      <c r="F94" s="71">
        <v>2.0000000000000002E-5</v>
      </c>
      <c r="G94" s="71">
        <v>2.0000000000000002E-5</v>
      </c>
      <c r="H94" s="71">
        <v>2.0000000000000002E-5</v>
      </c>
      <c r="I94" s="71">
        <v>2.0000000000000002E-5</v>
      </c>
      <c r="J94" s="71">
        <v>2.0000000000000002E-5</v>
      </c>
      <c r="K94" s="71">
        <v>2.0000000000000002E-5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9" t="s">
        <v>11</v>
      </c>
      <c r="C95" s="1"/>
      <c r="D95" s="1"/>
      <c r="E95" s="1"/>
      <c r="F95" s="71">
        <v>2.0000000000000002E-5</v>
      </c>
      <c r="G95" s="71">
        <v>2.0000000000000002E-5</v>
      </c>
      <c r="H95" s="71">
        <v>2.0000000000000002E-5</v>
      </c>
      <c r="I95" s="71">
        <v>2.0000000000000002E-5</v>
      </c>
      <c r="J95" s="71">
        <v>2.0000000000000002E-5</v>
      </c>
      <c r="K95" s="71">
        <v>2.0000000000000002E-5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9" t="s">
        <v>12</v>
      </c>
      <c r="C96" s="1"/>
      <c r="D96" s="1"/>
      <c r="E96" s="1"/>
      <c r="F96" s="71">
        <v>2.0000000000000002E-5</v>
      </c>
      <c r="G96" s="71">
        <v>2.0000000000000002E-5</v>
      </c>
      <c r="H96" s="71">
        <v>2.0000000000000002E-5</v>
      </c>
      <c r="I96" s="71">
        <v>2.0000000000000002E-5</v>
      </c>
      <c r="J96" s="71">
        <v>2.0000000000000002E-5</v>
      </c>
      <c r="K96" s="71">
        <v>2.0000000000000002E-5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3" t="s">
        <v>102</v>
      </c>
      <c r="C98" s="69">
        <f>+'Operating Build'!C47</f>
        <v>7.1</v>
      </c>
      <c r="D98" s="69">
        <f>+'Operating Build'!D47</f>
        <v>5.7</v>
      </c>
      <c r="E98" s="69">
        <f>+'Operating Build'!E47</f>
        <v>20.2</v>
      </c>
      <c r="F98" s="66">
        <f ca="1">+F99*'Operating Build'!F10</f>
        <v>9.0296544800000014</v>
      </c>
      <c r="G98" s="66">
        <f ca="1">+G99*'Operating Build'!G10</f>
        <v>9.0496348096000006</v>
      </c>
      <c r="H98" s="66">
        <f ca="1">+H99*'Operating Build'!H10</f>
        <v>9.8978499755520009</v>
      </c>
      <c r="I98" s="66">
        <f ca="1">+I99*'Operating Build'!I10</f>
        <v>10.828831680522242</v>
      </c>
      <c r="J98" s="66">
        <f ca="1">+J99*'Operating Build'!J10</f>
        <v>11.850990366721232</v>
      </c>
      <c r="K98" s="66">
        <f ca="1">+K99*'Operating Build'!K10</f>
        <v>12.973624006027006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1" t="s">
        <v>110</v>
      </c>
      <c r="C99" s="70">
        <f>+C98/'Operating Build'!C10</f>
        <v>7.9150348874671552E-6</v>
      </c>
      <c r="D99" s="70">
        <f>+D98/'Operating Build'!D10</f>
        <v>6.3886448003156214E-6</v>
      </c>
      <c r="E99" s="70">
        <f>+E98/'Operating Build'!E10</f>
        <v>1.7844239225878033E-5</v>
      </c>
      <c r="F99" s="70">
        <f t="shared" ref="F99:K99" ca="1" si="30">+OFFSET(F99,$D$4,)</f>
        <v>6.9999999999999999E-6</v>
      </c>
      <c r="G99" s="70">
        <f t="shared" ca="1" si="30"/>
        <v>6.9999999999999999E-6</v>
      </c>
      <c r="H99" s="70">
        <f t="shared" ca="1" si="30"/>
        <v>6.9999999999999999E-6</v>
      </c>
      <c r="I99" s="70">
        <f t="shared" ca="1" si="30"/>
        <v>6.9999999999999999E-6</v>
      </c>
      <c r="J99" s="70">
        <f t="shared" ca="1" si="30"/>
        <v>6.9999999999999999E-6</v>
      </c>
      <c r="K99" s="70">
        <f t="shared" ca="1" si="30"/>
        <v>6.9999999999999999E-6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9" t="s">
        <v>9</v>
      </c>
      <c r="C100" s="1"/>
      <c r="D100" s="1"/>
      <c r="E100" s="1"/>
      <c r="F100" s="71">
        <v>6.9999999999999999E-6</v>
      </c>
      <c r="G100" s="71">
        <v>6.9999999999999999E-6</v>
      </c>
      <c r="H100" s="71">
        <v>6.9999999999999999E-6</v>
      </c>
      <c r="I100" s="71">
        <v>6.9999999999999999E-6</v>
      </c>
      <c r="J100" s="71">
        <v>6.9999999999999999E-6</v>
      </c>
      <c r="K100" s="71">
        <v>6.9999999999999999E-6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9" t="s">
        <v>11</v>
      </c>
      <c r="C101" s="1"/>
      <c r="D101" s="1"/>
      <c r="E101" s="1"/>
      <c r="F101" s="71">
        <v>6.9999999999999999E-6</v>
      </c>
      <c r="G101" s="71">
        <v>6.9999999999999999E-6</v>
      </c>
      <c r="H101" s="71">
        <v>6.9999999999999999E-6</v>
      </c>
      <c r="I101" s="71">
        <v>6.9999999999999999E-6</v>
      </c>
      <c r="J101" s="71">
        <v>6.9999999999999999E-6</v>
      </c>
      <c r="K101" s="71">
        <v>6.9999999999999999E-6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9" t="s">
        <v>12</v>
      </c>
      <c r="C102" s="1"/>
      <c r="D102" s="1"/>
      <c r="E102" s="1"/>
      <c r="F102" s="71">
        <v>6.9999999999999999E-6</v>
      </c>
      <c r="G102" s="71">
        <v>6.9999999999999999E-6</v>
      </c>
      <c r="H102" s="71">
        <v>6.9999999999999999E-6</v>
      </c>
      <c r="I102" s="71">
        <v>6.9999999999999999E-6</v>
      </c>
      <c r="J102" s="71">
        <v>6.9999999999999999E-6</v>
      </c>
      <c r="K102" s="71">
        <v>6.9999999999999999E-6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C6:E6"/>
    <mergeCell ref="F6:K6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DCF</vt:lpstr>
      <vt:lpstr>Operating Build</vt:lpstr>
      <vt:lpstr>Assumptions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ollie bernasek</dc:creator>
  <cp:lastModifiedBy>Tucker Lawrence</cp:lastModifiedBy>
  <dcterms:created xsi:type="dcterms:W3CDTF">2022-09-07T03:57:34Z</dcterms:created>
  <dcterms:modified xsi:type="dcterms:W3CDTF">2022-11-07T23:31:17Z</dcterms:modified>
</cp:coreProperties>
</file>