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euthen\Downloads\"/>
    </mc:Choice>
  </mc:AlternateContent>
  <xr:revisionPtr revIDLastSave="0" documentId="8_{7E161061-2392-4A6A-B293-4FFFE071F2EC}" xr6:coauthVersionLast="47" xr6:coauthVersionMax="47" xr10:uidLastSave="{00000000-0000-0000-0000-000000000000}"/>
  <bookViews>
    <workbookView xWindow="-120" yWindow="-120" windowWidth="29040" windowHeight="15720" firstSheet="2" activeTab="9" xr2:uid="{ABECCA89-FF09-0A45-9881-1AAF93E47127}"/>
  </bookViews>
  <sheets>
    <sheet name="Title" sheetId="7" r:id="rId1"/>
    <sheet name="Template" sheetId="10" state="hidden" r:id="rId2"/>
    <sheet name="Historical Data&gt;&gt;" sheetId="8" r:id="rId3"/>
    <sheet name="Income Statement" sheetId="5" r:id="rId4"/>
    <sheet name="Balance Sheet" sheetId="6" r:id="rId5"/>
    <sheet name="Valuation &gt;&gt;" sheetId="9" r:id="rId6"/>
    <sheet name="Drivers" sheetId="11" r:id="rId7"/>
    <sheet name="Revenue Build" sheetId="16" r:id="rId8"/>
    <sheet name="NWC Build" sheetId="15" r:id="rId9"/>
    <sheet name="DCF" sheetId="13" r:id="rId10"/>
    <sheet name="Comps" sheetId="3" r:id="rId11"/>
    <sheet name="Cost of Debt" sheetId="4" r:id="rId1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44894.2123726852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4">'Balance Sheet'!$1:$3</definedName>
    <definedName name="_xlnm.Print_Titles" localSheetId="3">'Income Statement'!$1:$3</definedName>
  </definedName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1" l="1"/>
  <c r="C37" i="11"/>
  <c r="D37" i="11"/>
  <c r="E37" i="11"/>
  <c r="F37" i="11"/>
  <c r="G37" i="11"/>
  <c r="H37" i="11"/>
  <c r="C38" i="11"/>
  <c r="D38" i="11"/>
  <c r="E38" i="11"/>
  <c r="F38" i="11"/>
  <c r="G38" i="11"/>
  <c r="H38" i="11"/>
  <c r="I38" i="11"/>
  <c r="J38" i="11"/>
  <c r="K38" i="11"/>
  <c r="L38" i="11" s="1"/>
  <c r="M38" i="11" s="1"/>
  <c r="C39" i="11"/>
  <c r="D39" i="11"/>
  <c r="E39" i="11"/>
  <c r="F39" i="11"/>
  <c r="G39" i="11"/>
  <c r="H39" i="11"/>
  <c r="C40" i="11"/>
  <c r="D40" i="11"/>
  <c r="E40" i="11"/>
  <c r="F40" i="11"/>
  <c r="G40" i="11"/>
  <c r="H40" i="11"/>
  <c r="I37" i="11" l="1"/>
  <c r="I40" i="11"/>
  <c r="M39" i="11"/>
  <c r="I39" i="11"/>
  <c r="M37" i="11"/>
  <c r="L37" i="11"/>
  <c r="K37" i="11"/>
  <c r="M40" i="11"/>
  <c r="L39" i="11"/>
  <c r="J37" i="11"/>
  <c r="L40" i="11"/>
  <c r="K39" i="11"/>
  <c r="K40" i="11"/>
  <c r="J39" i="11"/>
  <c r="J40" i="11"/>
  <c r="C28" i="11" l="1"/>
  <c r="U32" i="13"/>
  <c r="R32" i="13"/>
  <c r="U31" i="13"/>
  <c r="R31" i="13"/>
  <c r="E9" i="7"/>
  <c r="L100" i="16"/>
  <c r="G94" i="16"/>
  <c r="G83" i="16"/>
  <c r="G72" i="16"/>
  <c r="G61" i="16"/>
  <c r="G50" i="16"/>
  <c r="G39" i="16"/>
  <c r="G28" i="16"/>
  <c r="G17" i="16"/>
  <c r="H6" i="16"/>
  <c r="G6" i="16"/>
  <c r="I61" i="16"/>
  <c r="J61" i="16"/>
  <c r="K61" i="16" s="1"/>
  <c r="L61" i="16" s="1"/>
  <c r="H61" i="16"/>
  <c r="H72" i="16"/>
  <c r="H83" i="16"/>
  <c r="I6" i="16"/>
  <c r="J6" i="16" s="1"/>
  <c r="K6" i="16" s="1"/>
  <c r="L6" i="16" s="1"/>
  <c r="J66" i="11"/>
  <c r="K66" i="11" s="1"/>
  <c r="L66" i="11" s="1"/>
  <c r="M66" i="11" s="1"/>
  <c r="N66" i="11" s="1"/>
  <c r="J68" i="11" l="1"/>
  <c r="K68" i="11" s="1"/>
  <c r="L68" i="11" s="1"/>
  <c r="M68" i="11" s="1"/>
  <c r="N68" i="11" s="1"/>
  <c r="J67" i="11"/>
  <c r="K67" i="11" s="1"/>
  <c r="L67" i="11" s="1"/>
  <c r="M67" i="11" s="1"/>
  <c r="N67" i="11" s="1"/>
  <c r="L62" i="11"/>
  <c r="D62" i="11"/>
  <c r="E62" i="11"/>
  <c r="F62" i="11"/>
  <c r="G62" i="11"/>
  <c r="H62" i="11"/>
  <c r="I62" i="11"/>
  <c r="J62" i="11"/>
  <c r="K62" i="11"/>
  <c r="M62" i="11"/>
  <c r="C62" i="11"/>
  <c r="D59" i="11"/>
  <c r="E59" i="11" s="1"/>
  <c r="F59" i="11" s="1"/>
  <c r="G59" i="11" s="1"/>
  <c r="H59" i="11" s="1"/>
  <c r="I59" i="11" s="1"/>
  <c r="J59" i="11" s="1"/>
  <c r="K59" i="11" s="1"/>
  <c r="L59" i="11" s="1"/>
  <c r="M59" i="11" s="1"/>
  <c r="D54" i="5"/>
  <c r="E54" i="5"/>
  <c r="F54" i="5"/>
  <c r="G54" i="5"/>
  <c r="C54" i="5"/>
  <c r="I27" i="11"/>
  <c r="H67" i="16"/>
  <c r="I67" i="16" s="1"/>
  <c r="J67" i="16" s="1"/>
  <c r="K67" i="16" s="1"/>
  <c r="L67" i="16" s="1"/>
  <c r="H45" i="16"/>
  <c r="I45" i="16" s="1"/>
  <c r="J45" i="16" s="1"/>
  <c r="K45" i="16" s="1"/>
  <c r="L45" i="16" s="1"/>
  <c r="G23" i="16"/>
  <c r="H23" i="16" s="1"/>
  <c r="I23" i="16" s="1"/>
  <c r="J23" i="16" s="1"/>
  <c r="K23" i="16" s="1"/>
  <c r="L23" i="16" s="1"/>
  <c r="H68" i="16"/>
  <c r="H46" i="16"/>
  <c r="H24" i="16"/>
  <c r="I24" i="16" s="1"/>
  <c r="J24" i="16" s="1"/>
  <c r="K24" i="16" s="1"/>
  <c r="L24" i="16" s="1"/>
  <c r="H13" i="16"/>
  <c r="I13" i="16" s="1"/>
  <c r="J13" i="16" s="1"/>
  <c r="K13" i="16" s="1"/>
  <c r="L13" i="16" s="1"/>
  <c r="I46" i="16"/>
  <c r="J46" i="16" s="1"/>
  <c r="K46" i="16" s="1"/>
  <c r="L46" i="16" s="1"/>
  <c r="I68" i="16"/>
  <c r="J68" i="16" s="1"/>
  <c r="K68" i="16" s="1"/>
  <c r="L68" i="16" s="1"/>
  <c r="G9" i="16"/>
  <c r="H17" i="16"/>
  <c r="G41" i="16"/>
  <c r="H50" i="16"/>
  <c r="G69" i="16"/>
  <c r="H69" i="16" s="1"/>
  <c r="I69" i="16" s="1"/>
  <c r="J69" i="16" s="1"/>
  <c r="K69" i="16" s="1"/>
  <c r="L69" i="16" s="1"/>
  <c r="G25" i="16"/>
  <c r="H25" i="16" s="1"/>
  <c r="I25" i="16" s="1"/>
  <c r="J25" i="16" s="1"/>
  <c r="K25" i="16" s="1"/>
  <c r="L25" i="16" s="1"/>
  <c r="G14" i="16"/>
  <c r="H14" i="16" s="1"/>
  <c r="I14" i="16" s="1"/>
  <c r="J14" i="16" s="1"/>
  <c r="K14" i="16" s="1"/>
  <c r="L14" i="16" s="1"/>
  <c r="G12" i="16"/>
  <c r="H12" i="16" s="1"/>
  <c r="I12" i="16" s="1"/>
  <c r="J12" i="16" s="1"/>
  <c r="K12" i="16" s="1"/>
  <c r="L12" i="16" s="1"/>
  <c r="F88" i="16"/>
  <c r="G90" i="16" s="1"/>
  <c r="G89" i="16" s="1"/>
  <c r="F95" i="16"/>
  <c r="F94" i="16"/>
  <c r="E95" i="16"/>
  <c r="E94" i="16"/>
  <c r="E88" i="16"/>
  <c r="F77" i="16"/>
  <c r="G79" i="16" s="1"/>
  <c r="G80" i="16" s="1"/>
  <c r="H80" i="16" s="1"/>
  <c r="I80" i="16" s="1"/>
  <c r="J80" i="16" s="1"/>
  <c r="K80" i="16" s="1"/>
  <c r="L80" i="16" s="1"/>
  <c r="E77" i="16"/>
  <c r="F66" i="16"/>
  <c r="E66" i="16"/>
  <c r="F55" i="16"/>
  <c r="G57" i="16" s="1"/>
  <c r="G58" i="16" s="1"/>
  <c r="H58" i="16" s="1"/>
  <c r="I58" i="16" s="1"/>
  <c r="J58" i="16" s="1"/>
  <c r="K58" i="16" s="1"/>
  <c r="L58" i="16" s="1"/>
  <c r="E55" i="16"/>
  <c r="F44" i="16"/>
  <c r="G47" i="16" s="1"/>
  <c r="H47" i="16" s="1"/>
  <c r="I47" i="16" s="1"/>
  <c r="J47" i="16" s="1"/>
  <c r="K47" i="16" s="1"/>
  <c r="L47" i="16" s="1"/>
  <c r="E44" i="16"/>
  <c r="F33" i="16"/>
  <c r="G35" i="16" s="1"/>
  <c r="E33" i="16"/>
  <c r="F22" i="16"/>
  <c r="E22" i="16"/>
  <c r="F11" i="16"/>
  <c r="E11" i="16"/>
  <c r="E4" i="16"/>
  <c r="F5" i="16"/>
  <c r="F4" i="16" s="1"/>
  <c r="I16" i="4"/>
  <c r="I12" i="4"/>
  <c r="I13" i="4"/>
  <c r="I14" i="4"/>
  <c r="I15" i="4"/>
  <c r="I17" i="4"/>
  <c r="I18" i="4"/>
  <c r="I11" i="4"/>
  <c r="F17" i="3"/>
  <c r="G17" i="3"/>
  <c r="H17" i="3"/>
  <c r="I17" i="3"/>
  <c r="J17" i="3"/>
  <c r="K17" i="3"/>
  <c r="L17" i="3"/>
  <c r="M17" i="3"/>
  <c r="N17" i="3"/>
  <c r="O17" i="3"/>
  <c r="E17" i="3"/>
  <c r="F16" i="3"/>
  <c r="G16" i="3"/>
  <c r="H16" i="3"/>
  <c r="I16" i="3"/>
  <c r="J16" i="3"/>
  <c r="K16" i="3"/>
  <c r="L16" i="3"/>
  <c r="M16" i="3"/>
  <c r="N16" i="3"/>
  <c r="O16" i="3"/>
  <c r="E16" i="3"/>
  <c r="E15" i="3"/>
  <c r="F15" i="3"/>
  <c r="G15" i="3"/>
  <c r="H15" i="3"/>
  <c r="I15" i="3"/>
  <c r="J15" i="3"/>
  <c r="K15" i="3"/>
  <c r="L15" i="3"/>
  <c r="M15" i="3"/>
  <c r="N15" i="3"/>
  <c r="O15" i="3"/>
  <c r="C63" i="11" l="1"/>
  <c r="G36" i="16"/>
  <c r="H36" i="16" s="1"/>
  <c r="I36" i="16" s="1"/>
  <c r="J36" i="16" s="1"/>
  <c r="K36" i="16" s="1"/>
  <c r="L36" i="16" s="1"/>
  <c r="H35" i="16"/>
  <c r="I35" i="16" s="1"/>
  <c r="J35" i="16" s="1"/>
  <c r="K35" i="16" s="1"/>
  <c r="L35" i="16" s="1"/>
  <c r="G34" i="16"/>
  <c r="H79" i="16"/>
  <c r="I79" i="16" s="1"/>
  <c r="J79" i="16" s="1"/>
  <c r="K79" i="16" s="1"/>
  <c r="L79" i="16" s="1"/>
  <c r="G56" i="16"/>
  <c r="H56" i="16" s="1"/>
  <c r="I56" i="16" s="1"/>
  <c r="J56" i="16" s="1"/>
  <c r="K56" i="16" s="1"/>
  <c r="L56" i="16" s="1"/>
  <c r="G85" i="16"/>
  <c r="H89" i="16"/>
  <c r="I89" i="16" s="1"/>
  <c r="J89" i="16" s="1"/>
  <c r="K89" i="16" s="1"/>
  <c r="L89" i="16" s="1"/>
  <c r="G78" i="16"/>
  <c r="H78" i="16" s="1"/>
  <c r="I78" i="16" s="1"/>
  <c r="J78" i="16" s="1"/>
  <c r="K78" i="16" s="1"/>
  <c r="L78" i="16" s="1"/>
  <c r="G91" i="16"/>
  <c r="H91" i="16" s="1"/>
  <c r="I91" i="16" s="1"/>
  <c r="J91" i="16" s="1"/>
  <c r="K91" i="16" s="1"/>
  <c r="L91" i="16" s="1"/>
  <c r="H90" i="16"/>
  <c r="I90" i="16" s="1"/>
  <c r="J90" i="16" s="1"/>
  <c r="K90" i="16" s="1"/>
  <c r="L90" i="16" s="1"/>
  <c r="H57" i="16"/>
  <c r="I57" i="16" s="1"/>
  <c r="J57" i="16" s="1"/>
  <c r="K57" i="16" s="1"/>
  <c r="L57" i="16" s="1"/>
  <c r="G75" i="16"/>
  <c r="G86" i="16"/>
  <c r="G42" i="16"/>
  <c r="H39" i="16"/>
  <c r="H42" i="16" s="1"/>
  <c r="G43" i="16"/>
  <c r="H28" i="16"/>
  <c r="I28" i="16" s="1"/>
  <c r="J28" i="16" s="1"/>
  <c r="K28" i="16" s="1"/>
  <c r="G53" i="16"/>
  <c r="H19" i="16"/>
  <c r="H65" i="16"/>
  <c r="H64" i="16"/>
  <c r="H63" i="16"/>
  <c r="I50" i="16"/>
  <c r="H21" i="16"/>
  <c r="I17" i="16"/>
  <c r="H20" i="16"/>
  <c r="G8" i="16"/>
  <c r="G76" i="16"/>
  <c r="G64" i="16"/>
  <c r="G20" i="16"/>
  <c r="G63" i="16"/>
  <c r="G19" i="16"/>
  <c r="G65" i="16"/>
  <c r="G21" i="16"/>
  <c r="G10" i="16"/>
  <c r="G87" i="16"/>
  <c r="G31" i="16"/>
  <c r="E99" i="16"/>
  <c r="F99" i="16"/>
  <c r="G5" i="16"/>
  <c r="G4" i="16" s="1"/>
  <c r="J20" i="4"/>
  <c r="H53" i="16" l="1"/>
  <c r="H52" i="16"/>
  <c r="L9" i="16"/>
  <c r="H34" i="16"/>
  <c r="I34" i="16" s="1"/>
  <c r="J34" i="16" s="1"/>
  <c r="K34" i="16" s="1"/>
  <c r="L34" i="16" s="1"/>
  <c r="G30" i="16"/>
  <c r="G52" i="16"/>
  <c r="G74" i="16"/>
  <c r="K9" i="16"/>
  <c r="H8" i="16"/>
  <c r="H9" i="16"/>
  <c r="H10" i="16"/>
  <c r="I9" i="16"/>
  <c r="J9" i="16"/>
  <c r="H31" i="16"/>
  <c r="H41" i="16"/>
  <c r="I39" i="16"/>
  <c r="G97" i="16"/>
  <c r="G101" i="16" s="1"/>
  <c r="L28" i="16"/>
  <c r="I21" i="16"/>
  <c r="H43" i="16"/>
  <c r="G54" i="16"/>
  <c r="I83" i="16"/>
  <c r="H85" i="16"/>
  <c r="H87" i="16"/>
  <c r="H86" i="16"/>
  <c r="J50" i="16"/>
  <c r="I53" i="16"/>
  <c r="I52" i="16"/>
  <c r="I65" i="16"/>
  <c r="I64" i="16"/>
  <c r="I63" i="16"/>
  <c r="I72" i="16"/>
  <c r="H74" i="16"/>
  <c r="H76" i="16"/>
  <c r="H75" i="16"/>
  <c r="I8" i="16"/>
  <c r="H94" i="16"/>
  <c r="G32" i="16"/>
  <c r="J17" i="16"/>
  <c r="I20" i="16"/>
  <c r="I31" i="16"/>
  <c r="I19" i="16"/>
  <c r="I10" i="16"/>
  <c r="H5" i="16"/>
  <c r="G98" i="16" l="1"/>
  <c r="G102" i="16" s="1"/>
  <c r="G96" i="16"/>
  <c r="G100" i="16" s="1"/>
  <c r="L30" i="16"/>
  <c r="J30" i="16"/>
  <c r="I30" i="16"/>
  <c r="H30" i="16"/>
  <c r="H96" i="16" s="1"/>
  <c r="H100" i="16" s="1"/>
  <c r="K30" i="16"/>
  <c r="H97" i="16"/>
  <c r="H101" i="16" s="1"/>
  <c r="J39" i="16"/>
  <c r="I41" i="16"/>
  <c r="I42" i="16"/>
  <c r="J31" i="16"/>
  <c r="J83" i="16"/>
  <c r="I86" i="16"/>
  <c r="I85" i="16"/>
  <c r="I87" i="16"/>
  <c r="K50" i="16"/>
  <c r="J53" i="16"/>
  <c r="J52" i="16"/>
  <c r="J63" i="16"/>
  <c r="J65" i="16"/>
  <c r="J64" i="16"/>
  <c r="J8" i="16"/>
  <c r="K17" i="16"/>
  <c r="J20" i="16"/>
  <c r="H54" i="16"/>
  <c r="H32" i="16"/>
  <c r="J21" i="16"/>
  <c r="J10" i="16"/>
  <c r="J72" i="16"/>
  <c r="I74" i="16"/>
  <c r="I76" i="16"/>
  <c r="I75" i="16"/>
  <c r="I94" i="16"/>
  <c r="J19" i="16"/>
  <c r="I43" i="16"/>
  <c r="I5" i="16"/>
  <c r="H4" i="16"/>
  <c r="I96" i="16" l="1"/>
  <c r="I100" i="16" s="1"/>
  <c r="K39" i="16"/>
  <c r="J41" i="16"/>
  <c r="J42" i="16"/>
  <c r="I97" i="16"/>
  <c r="I101" i="16" s="1"/>
  <c r="H98" i="16"/>
  <c r="H102" i="16" s="1"/>
  <c r="L8" i="16"/>
  <c r="K8" i="16"/>
  <c r="L50" i="16"/>
  <c r="K53" i="16"/>
  <c r="K52" i="16"/>
  <c r="J43" i="16"/>
  <c r="K72" i="16"/>
  <c r="J74" i="16"/>
  <c r="J96" i="16" s="1"/>
  <c r="J76" i="16"/>
  <c r="J75" i="16"/>
  <c r="I54" i="16"/>
  <c r="L10" i="16"/>
  <c r="K10" i="16"/>
  <c r="K63" i="16"/>
  <c r="K65" i="16"/>
  <c r="K64" i="16"/>
  <c r="K83" i="16"/>
  <c r="J86" i="16"/>
  <c r="J85" i="16"/>
  <c r="J87" i="16"/>
  <c r="K19" i="16"/>
  <c r="J94" i="16"/>
  <c r="K21" i="16"/>
  <c r="L17" i="16"/>
  <c r="K20" i="16"/>
  <c r="K31" i="16"/>
  <c r="L31" i="16"/>
  <c r="I32" i="16"/>
  <c r="J5" i="16"/>
  <c r="I4" i="16"/>
  <c r="L21" i="16" l="1"/>
  <c r="J100" i="16"/>
  <c r="L39" i="16"/>
  <c r="K41" i="16"/>
  <c r="K42" i="16"/>
  <c r="J97" i="16"/>
  <c r="J101" i="16" s="1"/>
  <c r="J54" i="16"/>
  <c r="J4" i="16"/>
  <c r="K5" i="16"/>
  <c r="L20" i="16"/>
  <c r="I98" i="16"/>
  <c r="I102" i="16" s="1"/>
  <c r="J32" i="16"/>
  <c r="L19" i="16"/>
  <c r="L83" i="16"/>
  <c r="K86" i="16"/>
  <c r="K85" i="16"/>
  <c r="K87" i="16"/>
  <c r="L63" i="16"/>
  <c r="L65" i="16"/>
  <c r="L64" i="16"/>
  <c r="L43" i="16"/>
  <c r="K43" i="16"/>
  <c r="L52" i="16"/>
  <c r="L53" i="16"/>
  <c r="K94" i="16"/>
  <c r="L72" i="16"/>
  <c r="K75" i="16"/>
  <c r="K74" i="16"/>
  <c r="K76" i="16"/>
  <c r="L94" i="16" l="1"/>
  <c r="K96" i="16"/>
  <c r="K100" i="16" s="1"/>
  <c r="J98" i="16"/>
  <c r="J102" i="16" s="1"/>
  <c r="L41" i="16"/>
  <c r="L42" i="16"/>
  <c r="K97" i="16"/>
  <c r="K101" i="16" s="1"/>
  <c r="L87" i="16"/>
  <c r="L86" i="16"/>
  <c r="L85" i="16"/>
  <c r="K4" i="16"/>
  <c r="L5" i="16"/>
  <c r="L75" i="16"/>
  <c r="L74" i="16"/>
  <c r="L76" i="16"/>
  <c r="L32" i="16"/>
  <c r="K32" i="16"/>
  <c r="L54" i="16"/>
  <c r="K54" i="16"/>
  <c r="D93" i="16" l="1"/>
  <c r="L4" i="16"/>
  <c r="L97" i="16"/>
  <c r="L101" i="16" s="1"/>
  <c r="L96" i="16"/>
  <c r="K98" i="16"/>
  <c r="K102" i="16" s="1"/>
  <c r="L98" i="16"/>
  <c r="L102" i="16" s="1"/>
  <c r="R16" i="13" l="1"/>
  <c r="D45" i="11"/>
  <c r="E45" i="11"/>
  <c r="F45" i="11"/>
  <c r="G45" i="11"/>
  <c r="H45" i="11"/>
  <c r="C45" i="11"/>
  <c r="D15" i="15"/>
  <c r="D16" i="15" s="1"/>
  <c r="C17" i="15"/>
  <c r="C18" i="15"/>
  <c r="D17" i="15"/>
  <c r="D18" i="15" s="1"/>
  <c r="E17" i="15"/>
  <c r="E18" i="15" s="1"/>
  <c r="F17" i="15"/>
  <c r="F18" i="15" s="1"/>
  <c r="G17" i="15"/>
  <c r="G18" i="15" s="1"/>
  <c r="H17" i="15"/>
  <c r="H18" i="15" s="1"/>
  <c r="I18" i="15" s="1"/>
  <c r="J18" i="15" s="1"/>
  <c r="K18" i="15" s="1"/>
  <c r="L18" i="15" s="1"/>
  <c r="M18" i="15" s="1"/>
  <c r="N18" i="15" s="1"/>
  <c r="O18" i="15" s="1"/>
  <c r="P18" i="15" s="1"/>
  <c r="Q18" i="15" s="1"/>
  <c r="R18" i="15" s="1"/>
  <c r="S18" i="15" s="1"/>
  <c r="T18" i="15" s="1"/>
  <c r="U18" i="15" s="1"/>
  <c r="C15" i="15"/>
  <c r="C16" i="15" s="1"/>
  <c r="E15" i="15"/>
  <c r="E19" i="15" s="1"/>
  <c r="F15" i="15"/>
  <c r="F16" i="15" s="1"/>
  <c r="G15" i="15"/>
  <c r="G16" i="15" s="1"/>
  <c r="H15" i="15"/>
  <c r="C10" i="15"/>
  <c r="C11" i="15" s="1"/>
  <c r="D10" i="15"/>
  <c r="D11" i="15" s="1"/>
  <c r="E10" i="15"/>
  <c r="E11" i="15" s="1"/>
  <c r="F10" i="15"/>
  <c r="F11" i="15" s="1"/>
  <c r="G10" i="15"/>
  <c r="G11" i="15" s="1"/>
  <c r="H10" i="15"/>
  <c r="H11" i="15" s="1"/>
  <c r="C8" i="15"/>
  <c r="C9" i="15" s="1"/>
  <c r="D8" i="15"/>
  <c r="D9" i="15" s="1"/>
  <c r="E8" i="15"/>
  <c r="E9" i="15" s="1"/>
  <c r="F8" i="15"/>
  <c r="F9" i="15" s="1"/>
  <c r="G8" i="15"/>
  <c r="G9" i="15" s="1"/>
  <c r="H8" i="15"/>
  <c r="H9" i="15" s="1"/>
  <c r="E7" i="15"/>
  <c r="H7" i="15"/>
  <c r="C6" i="15"/>
  <c r="C7" i="15" s="1"/>
  <c r="D6" i="15"/>
  <c r="D7" i="15" s="1"/>
  <c r="E6" i="15"/>
  <c r="F6" i="15"/>
  <c r="F7" i="15" s="1"/>
  <c r="G6" i="15"/>
  <c r="G7" i="15" s="1"/>
  <c r="H6" i="15"/>
  <c r="D5" i="15"/>
  <c r="D4" i="15" s="1"/>
  <c r="C4" i="15"/>
  <c r="C19" i="15" l="1"/>
  <c r="C20" i="15" s="1"/>
  <c r="H19" i="15"/>
  <c r="H20" i="15" s="1"/>
  <c r="G19" i="15"/>
  <c r="D19" i="15"/>
  <c r="F19" i="15"/>
  <c r="F20" i="15" s="1"/>
  <c r="I45" i="11"/>
  <c r="J45" i="11" s="1"/>
  <c r="K45" i="11" s="1"/>
  <c r="E20" i="15"/>
  <c r="C46" i="11"/>
  <c r="H16" i="15"/>
  <c r="E16" i="15"/>
  <c r="D20" i="15"/>
  <c r="O7" i="15"/>
  <c r="P7" i="15"/>
  <c r="Q7" i="15"/>
  <c r="J7" i="15"/>
  <c r="R7" i="15"/>
  <c r="K7" i="15"/>
  <c r="S7" i="15"/>
  <c r="L7" i="15"/>
  <c r="T7" i="15"/>
  <c r="M7" i="15"/>
  <c r="U7" i="15"/>
  <c r="N7" i="15"/>
  <c r="I7" i="15"/>
  <c r="M9" i="15"/>
  <c r="O9" i="15"/>
  <c r="N9" i="15"/>
  <c r="P9" i="15"/>
  <c r="Q9" i="15"/>
  <c r="R9" i="15"/>
  <c r="I9" i="15"/>
  <c r="S9" i="15"/>
  <c r="J9" i="15"/>
  <c r="T9" i="15"/>
  <c r="K9" i="15"/>
  <c r="L9" i="15"/>
  <c r="U9" i="15"/>
  <c r="U11" i="15"/>
  <c r="K11" i="15"/>
  <c r="N11" i="15"/>
  <c r="L11" i="15"/>
  <c r="O11" i="15"/>
  <c r="M11" i="15"/>
  <c r="P11" i="15"/>
  <c r="I11" i="15"/>
  <c r="Q11" i="15"/>
  <c r="R11" i="15"/>
  <c r="S11" i="15"/>
  <c r="J11" i="15"/>
  <c r="T11" i="15"/>
  <c r="E12" i="15"/>
  <c r="D12" i="15"/>
  <c r="D13" i="15" s="1"/>
  <c r="C12" i="15"/>
  <c r="H12" i="15"/>
  <c r="G12" i="15"/>
  <c r="G20" i="15"/>
  <c r="F12" i="15"/>
  <c r="E5" i="15"/>
  <c r="U16" i="15" l="1"/>
  <c r="L45" i="11"/>
  <c r="M45" i="11" s="1"/>
  <c r="M16" i="15"/>
  <c r="N16" i="15"/>
  <c r="J16" i="15"/>
  <c r="L16" i="15"/>
  <c r="T16" i="15"/>
  <c r="P16" i="15"/>
  <c r="Q16" i="15"/>
  <c r="I16" i="15"/>
  <c r="K16" i="15"/>
  <c r="S16" i="15"/>
  <c r="O16" i="15"/>
  <c r="R16" i="15"/>
  <c r="D22" i="15"/>
  <c r="H22" i="15"/>
  <c r="H13" i="15"/>
  <c r="E22" i="15"/>
  <c r="E13" i="15"/>
  <c r="F22" i="15"/>
  <c r="F13" i="15"/>
  <c r="C22" i="15"/>
  <c r="C13" i="15"/>
  <c r="G22" i="15"/>
  <c r="G13" i="15"/>
  <c r="E4" i="15"/>
  <c r="F5" i="15"/>
  <c r="G5" i="15" l="1"/>
  <c r="F4" i="15"/>
  <c r="H5" i="15" l="1"/>
  <c r="G4" i="15"/>
  <c r="H4" i="15" l="1"/>
  <c r="I5" i="15"/>
  <c r="I4" i="15" l="1"/>
  <c r="J5" i="15"/>
  <c r="J4" i="15" l="1"/>
  <c r="K5" i="15"/>
  <c r="L5" i="15" l="1"/>
  <c r="K4" i="15"/>
  <c r="M5" i="15" l="1"/>
  <c r="L4" i="15"/>
  <c r="M4" i="15" l="1"/>
  <c r="N5" i="15"/>
  <c r="N4" i="15" l="1"/>
  <c r="O5" i="15"/>
  <c r="O4" i="15" l="1"/>
  <c r="P5" i="15"/>
  <c r="P4" i="15" l="1"/>
  <c r="Q5" i="15"/>
  <c r="Q4" i="15" l="1"/>
  <c r="R5" i="15"/>
  <c r="S5" i="15" l="1"/>
  <c r="R4" i="15"/>
  <c r="T5" i="15" l="1"/>
  <c r="S4" i="15"/>
  <c r="U5" i="15" l="1"/>
  <c r="U4" i="15" s="1"/>
  <c r="T4" i="15"/>
  <c r="U16" i="13" l="1"/>
  <c r="R15" i="13"/>
  <c r="U15" i="13" s="1"/>
  <c r="I44" i="11"/>
  <c r="J44" i="11" s="1"/>
  <c r="K44" i="11" s="1"/>
  <c r="L44" i="11" s="1"/>
  <c r="M44" i="11" s="1"/>
  <c r="D44" i="11"/>
  <c r="E44" i="11"/>
  <c r="F44" i="11"/>
  <c r="G44" i="11"/>
  <c r="H46" i="11"/>
  <c r="C44" i="11"/>
  <c r="F46" i="11"/>
  <c r="D46" i="11"/>
  <c r="C36" i="13"/>
  <c r="C38" i="13" s="1"/>
  <c r="C6" i="13"/>
  <c r="C26" i="13" s="1"/>
  <c r="C7" i="13" l="1"/>
  <c r="G7" i="13"/>
  <c r="I7" i="13"/>
  <c r="O7" i="13"/>
  <c r="N7" i="13"/>
  <c r="M7" i="13"/>
  <c r="L7" i="13"/>
  <c r="K7" i="13"/>
  <c r="J7" i="13"/>
  <c r="H7" i="13"/>
  <c r="E46" i="11"/>
  <c r="H44" i="11"/>
  <c r="G46" i="11"/>
  <c r="I46" i="11"/>
  <c r="J46" i="11" s="1"/>
  <c r="K46" i="11" s="1"/>
  <c r="L46" i="11" s="1"/>
  <c r="M46" i="11" s="1"/>
  <c r="F7" i="13"/>
  <c r="E7" i="13"/>
  <c r="D7" i="13"/>
  <c r="D5" i="13"/>
  <c r="D4" i="13" s="1"/>
  <c r="C4" i="13"/>
  <c r="M34" i="11"/>
  <c r="L34" i="11"/>
  <c r="K34" i="11"/>
  <c r="J34" i="11"/>
  <c r="I34" i="11"/>
  <c r="M32" i="11"/>
  <c r="L32" i="11"/>
  <c r="K32" i="11"/>
  <c r="J32" i="11"/>
  <c r="I32" i="11"/>
  <c r="E5" i="13" l="1"/>
  <c r="E4" i="13" l="1"/>
  <c r="F5" i="13"/>
  <c r="G5" i="13" l="1"/>
  <c r="F4" i="13"/>
  <c r="H5" i="13" l="1"/>
  <c r="G4" i="13"/>
  <c r="H4" i="13" l="1"/>
  <c r="I5" i="13"/>
  <c r="I29" i="11"/>
  <c r="J29" i="11"/>
  <c r="K29" i="11"/>
  <c r="L29" i="11"/>
  <c r="M29" i="11"/>
  <c r="J27" i="11"/>
  <c r="K27" i="11"/>
  <c r="L27" i="11"/>
  <c r="M27" i="11"/>
  <c r="G27" i="11"/>
  <c r="D28" i="11"/>
  <c r="D27" i="11" s="1"/>
  <c r="E28" i="11"/>
  <c r="F28" i="11"/>
  <c r="F29" i="11" s="1"/>
  <c r="G28" i="11"/>
  <c r="H27" i="11"/>
  <c r="G29" i="11"/>
  <c r="H29" i="11"/>
  <c r="C29" i="11"/>
  <c r="C27" i="11"/>
  <c r="H13" i="11"/>
  <c r="H18" i="11"/>
  <c r="H23" i="11"/>
  <c r="G23" i="11"/>
  <c r="G22" i="11" s="1"/>
  <c r="I22" i="11" s="1"/>
  <c r="F23" i="11"/>
  <c r="F22" i="11" s="1"/>
  <c r="E23" i="11"/>
  <c r="E22" i="11" s="1"/>
  <c r="D23" i="11"/>
  <c r="D22" i="11" s="1"/>
  <c r="C23" i="11"/>
  <c r="C24" i="11" s="1"/>
  <c r="G18" i="11"/>
  <c r="G17" i="11" s="1"/>
  <c r="I17" i="11" s="1"/>
  <c r="J17" i="11" s="1"/>
  <c r="K17" i="11" s="1"/>
  <c r="L17" i="11" s="1"/>
  <c r="M17" i="11" s="1"/>
  <c r="F18" i="11"/>
  <c r="F19" i="11" s="1"/>
  <c r="E18" i="11"/>
  <c r="E19" i="11" s="1"/>
  <c r="D18" i="11"/>
  <c r="D19" i="11" s="1"/>
  <c r="C18" i="11"/>
  <c r="C17" i="11" s="1"/>
  <c r="G13" i="11"/>
  <c r="F13" i="11"/>
  <c r="F14" i="11" s="1"/>
  <c r="E13" i="11"/>
  <c r="E14" i="11" s="1"/>
  <c r="D13" i="11"/>
  <c r="D14" i="11" s="1"/>
  <c r="C13" i="11"/>
  <c r="C14" i="11" s="1"/>
  <c r="D8" i="11"/>
  <c r="D7" i="11" s="1"/>
  <c r="C7" i="11"/>
  <c r="D4" i="10"/>
  <c r="E4" i="10"/>
  <c r="F4" i="10"/>
  <c r="G4" i="10"/>
  <c r="H4" i="10"/>
  <c r="C4" i="10"/>
  <c r="E5" i="10"/>
  <c r="F5" i="10"/>
  <c r="G5" i="10"/>
  <c r="H5" i="10" s="1"/>
  <c r="D5" i="10"/>
  <c r="F20" i="4"/>
  <c r="C45" i="13" s="1"/>
  <c r="J9" i="4"/>
  <c r="J10" i="4"/>
  <c r="J11" i="4"/>
  <c r="J12" i="4"/>
  <c r="J13" i="4"/>
  <c r="J14" i="4"/>
  <c r="J15" i="4"/>
  <c r="J16" i="4"/>
  <c r="J17" i="4"/>
  <c r="J18" i="4"/>
  <c r="J8" i="4"/>
  <c r="F18" i="3"/>
  <c r="G18" i="3"/>
  <c r="H18" i="3"/>
  <c r="I18" i="3"/>
  <c r="J18" i="3"/>
  <c r="K18" i="3"/>
  <c r="L18" i="3"/>
  <c r="M18" i="3"/>
  <c r="N18" i="3"/>
  <c r="O18" i="3"/>
  <c r="E18" i="3"/>
  <c r="D17" i="11" l="1"/>
  <c r="E17" i="11"/>
  <c r="J22" i="11"/>
  <c r="K22" i="11" s="1"/>
  <c r="L22" i="11" s="1"/>
  <c r="M22" i="11" s="1"/>
  <c r="H17" i="11"/>
  <c r="I18" i="11"/>
  <c r="H12" i="11"/>
  <c r="I13" i="11"/>
  <c r="J13" i="11" s="1"/>
  <c r="G19" i="11"/>
  <c r="H24" i="11"/>
  <c r="I24" i="11" s="1"/>
  <c r="J24" i="11" s="1"/>
  <c r="K24" i="11" s="1"/>
  <c r="L24" i="11" s="1"/>
  <c r="M24" i="11" s="1"/>
  <c r="I23" i="11"/>
  <c r="E24" i="11"/>
  <c r="E12" i="11"/>
  <c r="H19" i="11"/>
  <c r="I19" i="11" s="1"/>
  <c r="J19" i="11" s="1"/>
  <c r="K19" i="11" s="1"/>
  <c r="L19" i="11" s="1"/>
  <c r="M19" i="11" s="1"/>
  <c r="I65" i="11"/>
  <c r="N65" i="11"/>
  <c r="J65" i="11"/>
  <c r="K65" i="11"/>
  <c r="M65" i="11"/>
  <c r="L65" i="11"/>
  <c r="G14" i="11"/>
  <c r="H14" i="11"/>
  <c r="F24" i="11"/>
  <c r="D24" i="11"/>
  <c r="F12" i="11"/>
  <c r="H104" i="16"/>
  <c r="C8" i="13" s="1"/>
  <c r="C9" i="13" s="1"/>
  <c r="I104" i="16"/>
  <c r="D8" i="13" s="1"/>
  <c r="J104" i="16"/>
  <c r="E8" i="13" s="1"/>
  <c r="K104" i="16"/>
  <c r="F8" i="13" s="1"/>
  <c r="L104" i="16"/>
  <c r="G8" i="13" s="1"/>
  <c r="G104" i="16"/>
  <c r="C47" i="13"/>
  <c r="C46" i="13"/>
  <c r="C54" i="11"/>
  <c r="U8" i="13" s="1"/>
  <c r="C49" i="11"/>
  <c r="R8" i="13" s="1"/>
  <c r="K43" i="11"/>
  <c r="M43" i="11"/>
  <c r="L43" i="11"/>
  <c r="M26" i="11"/>
  <c r="L26" i="11"/>
  <c r="L31" i="11"/>
  <c r="J26" i="11"/>
  <c r="J43" i="11"/>
  <c r="J31" i="11"/>
  <c r="I26" i="11"/>
  <c r="C18" i="13" s="1"/>
  <c r="I31" i="11"/>
  <c r="M31" i="11"/>
  <c r="K26" i="11"/>
  <c r="I43" i="11"/>
  <c r="K31" i="11"/>
  <c r="I4" i="13"/>
  <c r="J5" i="13"/>
  <c r="E29" i="11"/>
  <c r="D29" i="11"/>
  <c r="F27" i="11"/>
  <c r="E27" i="11"/>
  <c r="H22" i="11"/>
  <c r="G12" i="11"/>
  <c r="I12" i="11" s="1"/>
  <c r="J12" i="11" s="1"/>
  <c r="K12" i="11" s="1"/>
  <c r="L12" i="11" s="1"/>
  <c r="M12" i="11" s="1"/>
  <c r="C19" i="11"/>
  <c r="D12" i="11"/>
  <c r="F17" i="11"/>
  <c r="C22" i="11"/>
  <c r="G24" i="11"/>
  <c r="C12" i="11"/>
  <c r="E8" i="11"/>
  <c r="C40" i="13"/>
  <c r="C42" i="13" s="1"/>
  <c r="J18" i="11" l="1"/>
  <c r="J16" i="11" s="1"/>
  <c r="J23" i="11"/>
  <c r="K23" i="11" s="1"/>
  <c r="L23" i="11" s="1"/>
  <c r="M23" i="11" s="1"/>
  <c r="I16" i="11"/>
  <c r="I14" i="11"/>
  <c r="I11" i="11" s="1"/>
  <c r="G9" i="13"/>
  <c r="G26" i="13"/>
  <c r="D9" i="13"/>
  <c r="F9" i="13"/>
  <c r="E9" i="13"/>
  <c r="C10" i="13"/>
  <c r="F26" i="13"/>
  <c r="E26" i="13"/>
  <c r="D26" i="13"/>
  <c r="F18" i="13"/>
  <c r="F23" i="13"/>
  <c r="E18" i="13"/>
  <c r="E23" i="13"/>
  <c r="G23" i="13"/>
  <c r="G18" i="13"/>
  <c r="D18" i="13"/>
  <c r="D23" i="13"/>
  <c r="C23" i="13"/>
  <c r="C48" i="13"/>
  <c r="K5" i="13"/>
  <c r="J4" i="13"/>
  <c r="I21" i="11"/>
  <c r="J14" i="11"/>
  <c r="J11" i="11" s="1"/>
  <c r="K13" i="11"/>
  <c r="E7" i="11"/>
  <c r="F8" i="11"/>
  <c r="K18" i="11" l="1"/>
  <c r="H9" i="13"/>
  <c r="I9" i="13" s="1"/>
  <c r="J9" i="13" s="1"/>
  <c r="K9" i="13" s="1"/>
  <c r="L9" i="13" s="1"/>
  <c r="M9" i="13" s="1"/>
  <c r="N9" i="13" s="1"/>
  <c r="O9" i="13" s="1"/>
  <c r="C11" i="13"/>
  <c r="I17" i="15"/>
  <c r="I10" i="15"/>
  <c r="I15" i="15"/>
  <c r="I6" i="15"/>
  <c r="I8" i="15"/>
  <c r="C15" i="13"/>
  <c r="C24" i="13"/>
  <c r="C14" i="13"/>
  <c r="C13" i="13"/>
  <c r="L5" i="13"/>
  <c r="K4" i="13"/>
  <c r="J21" i="11"/>
  <c r="K14" i="11"/>
  <c r="K11" i="11" s="1"/>
  <c r="L13" i="11"/>
  <c r="G8" i="11"/>
  <c r="F7" i="11"/>
  <c r="L18" i="11" l="1"/>
  <c r="K16" i="11"/>
  <c r="H8" i="13"/>
  <c r="I8" i="13" s="1"/>
  <c r="J8" i="13" s="1"/>
  <c r="K8" i="13" s="1"/>
  <c r="L8" i="13" s="1"/>
  <c r="M8" i="13" s="1"/>
  <c r="N8" i="13" s="1"/>
  <c r="O8" i="13" s="1"/>
  <c r="I19" i="15"/>
  <c r="I20" i="15" s="1"/>
  <c r="C12" i="13"/>
  <c r="C16" i="13"/>
  <c r="D15" i="13"/>
  <c r="I12" i="15"/>
  <c r="J10" i="15"/>
  <c r="J17" i="15"/>
  <c r="J6" i="15"/>
  <c r="J15" i="15"/>
  <c r="J8" i="15"/>
  <c r="D24" i="13"/>
  <c r="D13" i="13"/>
  <c r="D10" i="13"/>
  <c r="D11" i="13" s="1"/>
  <c r="D14" i="13"/>
  <c r="M5" i="13"/>
  <c r="L4" i="13"/>
  <c r="L14" i="11"/>
  <c r="M13" i="11"/>
  <c r="L11" i="11"/>
  <c r="K21" i="11"/>
  <c r="H8" i="11"/>
  <c r="G7" i="11"/>
  <c r="M18" i="11" l="1"/>
  <c r="M16" i="11" s="1"/>
  <c r="L16" i="11"/>
  <c r="D16" i="13"/>
  <c r="D19" i="13" s="1"/>
  <c r="D20" i="13" s="1"/>
  <c r="D22" i="13" s="1"/>
  <c r="D12" i="13"/>
  <c r="J19" i="15"/>
  <c r="J20" i="15" s="1"/>
  <c r="J12" i="15"/>
  <c r="K15" i="15"/>
  <c r="K8" i="15"/>
  <c r="K6" i="15"/>
  <c r="K17" i="15"/>
  <c r="K10" i="15"/>
  <c r="I13" i="15"/>
  <c r="I22" i="15"/>
  <c r="C25" i="13" s="1"/>
  <c r="C19" i="13"/>
  <c r="C17" i="13"/>
  <c r="E24" i="13"/>
  <c r="E10" i="13"/>
  <c r="E11" i="13" s="1"/>
  <c r="E13" i="13"/>
  <c r="E14" i="13"/>
  <c r="E15" i="13"/>
  <c r="M4" i="13"/>
  <c r="N5" i="13"/>
  <c r="L21" i="11"/>
  <c r="H7" i="11"/>
  <c r="I8" i="11"/>
  <c r="M11" i="11"/>
  <c r="M14" i="11"/>
  <c r="C20" i="13" l="1"/>
  <c r="C22" i="13" s="1"/>
  <c r="C27" i="13" s="1"/>
  <c r="E16" i="13"/>
  <c r="E19" i="13" s="1"/>
  <c r="E12" i="13"/>
  <c r="D17" i="13"/>
  <c r="K19" i="15"/>
  <c r="K20" i="15" s="1"/>
  <c r="K12" i="15"/>
  <c r="L15" i="15"/>
  <c r="L6" i="15"/>
  <c r="L8" i="15"/>
  <c r="L17" i="15"/>
  <c r="L10" i="15"/>
  <c r="J22" i="15"/>
  <c r="D25" i="13" s="1"/>
  <c r="D27" i="13" s="1"/>
  <c r="D28" i="13" s="1"/>
  <c r="D29" i="13" s="1"/>
  <c r="J13" i="15"/>
  <c r="F24" i="13"/>
  <c r="F10" i="13"/>
  <c r="F11" i="13" s="1"/>
  <c r="F13" i="13"/>
  <c r="F14" i="13"/>
  <c r="F15" i="13"/>
  <c r="N4" i="13"/>
  <c r="O5" i="13"/>
  <c r="O4" i="13" s="1"/>
  <c r="I7" i="11"/>
  <c r="J8" i="11"/>
  <c r="M21" i="11"/>
  <c r="C28" i="13" l="1"/>
  <c r="C29" i="13" s="1"/>
  <c r="E20" i="13"/>
  <c r="E22" i="13" s="1"/>
  <c r="F16" i="13"/>
  <c r="F19" i="13" s="1"/>
  <c r="F12" i="13"/>
  <c r="L19" i="15"/>
  <c r="L20" i="15" s="1"/>
  <c r="M17" i="15"/>
  <c r="M15" i="15"/>
  <c r="M8" i="15"/>
  <c r="M6" i="15"/>
  <c r="M10" i="15"/>
  <c r="K13" i="15"/>
  <c r="K22" i="15"/>
  <c r="E25" i="13" s="1"/>
  <c r="L12" i="15"/>
  <c r="E17" i="13"/>
  <c r="G14" i="13"/>
  <c r="H26" i="13"/>
  <c r="G24" i="13"/>
  <c r="G10" i="13"/>
  <c r="G11" i="13" s="1"/>
  <c r="G13" i="13"/>
  <c r="G15" i="13"/>
  <c r="J7" i="11"/>
  <c r="K8" i="11"/>
  <c r="M19" i="15" l="1"/>
  <c r="M20" i="15" s="1"/>
  <c r="H23" i="13"/>
  <c r="H18" i="13"/>
  <c r="F20" i="13"/>
  <c r="F22" i="13" s="1"/>
  <c r="G12" i="13"/>
  <c r="G16" i="13"/>
  <c r="G17" i="13" s="1"/>
  <c r="E27" i="13"/>
  <c r="E28" i="13" s="1"/>
  <c r="H10" i="13"/>
  <c r="H11" i="13" s="1"/>
  <c r="H12" i="13" s="1"/>
  <c r="H14" i="13"/>
  <c r="H15" i="13"/>
  <c r="F17" i="13"/>
  <c r="M12" i="15"/>
  <c r="L22" i="15"/>
  <c r="F25" i="13" s="1"/>
  <c r="L13" i="15"/>
  <c r="N15" i="15"/>
  <c r="N8" i="15"/>
  <c r="N17" i="15"/>
  <c r="N6" i="15"/>
  <c r="N10" i="15"/>
  <c r="I26" i="13"/>
  <c r="H24" i="13"/>
  <c r="H13" i="13"/>
  <c r="K7" i="11"/>
  <c r="L8" i="11"/>
  <c r="E29" i="13" l="1"/>
  <c r="I18" i="13"/>
  <c r="I23" i="13"/>
  <c r="H16" i="13"/>
  <c r="N19" i="15"/>
  <c r="N20" i="15" s="1"/>
  <c r="I15" i="13"/>
  <c r="G19" i="13"/>
  <c r="I14" i="13"/>
  <c r="I10" i="13"/>
  <c r="I11" i="13" s="1"/>
  <c r="F27" i="13"/>
  <c r="N12" i="15"/>
  <c r="N13" i="15" s="1"/>
  <c r="M22" i="15"/>
  <c r="G25" i="13" s="1"/>
  <c r="M13" i="15"/>
  <c r="O17" i="15"/>
  <c r="O8" i="15"/>
  <c r="O15" i="15"/>
  <c r="O6" i="15"/>
  <c r="O10" i="15"/>
  <c r="I24" i="13"/>
  <c r="J26" i="13"/>
  <c r="I13" i="13"/>
  <c r="M8" i="11"/>
  <c r="M7" i="11" s="1"/>
  <c r="L7" i="11"/>
  <c r="F28" i="13" l="1"/>
  <c r="F29" i="13" s="1"/>
  <c r="J18" i="13"/>
  <c r="J23" i="13"/>
  <c r="G20" i="13"/>
  <c r="G22" i="13" s="1"/>
  <c r="G27" i="13" s="1"/>
  <c r="O19" i="15"/>
  <c r="O20" i="15" s="1"/>
  <c r="I16" i="13"/>
  <c r="I12" i="13"/>
  <c r="J10" i="13"/>
  <c r="J11" i="13" s="1"/>
  <c r="J14" i="13"/>
  <c r="J15" i="13"/>
  <c r="N22" i="15"/>
  <c r="H25" i="13" s="1"/>
  <c r="O12" i="15"/>
  <c r="P15" i="15"/>
  <c r="P8" i="15"/>
  <c r="P17" i="15"/>
  <c r="P10" i="15"/>
  <c r="P6" i="15"/>
  <c r="J24" i="13"/>
  <c r="K26" i="13"/>
  <c r="J13" i="13"/>
  <c r="H19" i="13"/>
  <c r="H17" i="13"/>
  <c r="G28" i="13" l="1"/>
  <c r="G29" i="13" s="1"/>
  <c r="K18" i="13"/>
  <c r="K23" i="13"/>
  <c r="H20" i="13"/>
  <c r="H22" i="13" s="1"/>
  <c r="H27" i="13" s="1"/>
  <c r="J16" i="13"/>
  <c r="J17" i="13" s="1"/>
  <c r="J12" i="13"/>
  <c r="P19" i="15"/>
  <c r="P20" i="15" s="1"/>
  <c r="K15" i="13"/>
  <c r="K14" i="13"/>
  <c r="K10" i="13"/>
  <c r="K11" i="13" s="1"/>
  <c r="P12" i="15"/>
  <c r="P13" i="15" s="1"/>
  <c r="Q17" i="15"/>
  <c r="Q8" i="15"/>
  <c r="Q15" i="15"/>
  <c r="Q6" i="15"/>
  <c r="Q10" i="15"/>
  <c r="O13" i="15"/>
  <c r="O22" i="15"/>
  <c r="I25" i="13" s="1"/>
  <c r="I17" i="13"/>
  <c r="I19" i="13"/>
  <c r="K24" i="13"/>
  <c r="L26" i="13"/>
  <c r="K13" i="13"/>
  <c r="H28" i="13" l="1"/>
  <c r="H29" i="13" s="1"/>
  <c r="L18" i="13"/>
  <c r="L23" i="13"/>
  <c r="I20" i="13"/>
  <c r="I22" i="13" s="1"/>
  <c r="I27" i="13" s="1"/>
  <c r="Q19" i="15"/>
  <c r="Q20" i="15" s="1"/>
  <c r="K12" i="13"/>
  <c r="K16" i="13"/>
  <c r="L10" i="13"/>
  <c r="L11" i="13" s="1"/>
  <c r="L14" i="13"/>
  <c r="L15" i="13"/>
  <c r="J19" i="13"/>
  <c r="R10" i="15"/>
  <c r="R8" i="15"/>
  <c r="R17" i="15"/>
  <c r="R6" i="15"/>
  <c r="R15" i="15"/>
  <c r="Q12" i="15"/>
  <c r="P22" i="15"/>
  <c r="J25" i="13" s="1"/>
  <c r="L24" i="13"/>
  <c r="M26" i="13"/>
  <c r="L13" i="13"/>
  <c r="I28" i="13" l="1"/>
  <c r="I29" i="13" s="1"/>
  <c r="M18" i="13"/>
  <c r="M23" i="13"/>
  <c r="J20" i="13"/>
  <c r="J22" i="13" s="1"/>
  <c r="J27" i="13" s="1"/>
  <c r="R19" i="15"/>
  <c r="R20" i="15" s="1"/>
  <c r="L16" i="13"/>
  <c r="L12" i="13"/>
  <c r="M15" i="13"/>
  <c r="R12" i="15"/>
  <c r="R13" i="15" s="1"/>
  <c r="M14" i="13"/>
  <c r="M10" i="13"/>
  <c r="S6" i="15"/>
  <c r="S10" i="15"/>
  <c r="S8" i="15"/>
  <c r="S15" i="15"/>
  <c r="S17" i="15"/>
  <c r="Q13" i="15"/>
  <c r="Q22" i="15"/>
  <c r="K25" i="13" s="1"/>
  <c r="M24" i="13"/>
  <c r="M13" i="13"/>
  <c r="N26" i="13"/>
  <c r="K17" i="13"/>
  <c r="K19" i="13"/>
  <c r="J28" i="13" l="1"/>
  <c r="J29" i="13" s="1"/>
  <c r="N18" i="13"/>
  <c r="N23" i="13"/>
  <c r="K20" i="13"/>
  <c r="K22" i="13" s="1"/>
  <c r="K27" i="13" s="1"/>
  <c r="N10" i="13"/>
  <c r="N11" i="13" s="1"/>
  <c r="M11" i="13"/>
  <c r="N15" i="13"/>
  <c r="S19" i="15"/>
  <c r="S20" i="15" s="1"/>
  <c r="R22" i="15"/>
  <c r="L25" i="13" s="1"/>
  <c r="N14" i="13"/>
  <c r="L17" i="13"/>
  <c r="L19" i="13"/>
  <c r="T6" i="15"/>
  <c r="T10" i="15"/>
  <c r="T8" i="15"/>
  <c r="T17" i="15"/>
  <c r="T15" i="15"/>
  <c r="S12" i="15"/>
  <c r="N24" i="13"/>
  <c r="N13" i="13"/>
  <c r="O26" i="13"/>
  <c r="K28" i="13" l="1"/>
  <c r="K29" i="13" s="1"/>
  <c r="O18" i="13"/>
  <c r="O23" i="13"/>
  <c r="L20" i="13"/>
  <c r="L22" i="13" s="1"/>
  <c r="L27" i="13" s="1"/>
  <c r="N12" i="13"/>
  <c r="N16" i="13"/>
  <c r="N19" i="13" s="1"/>
  <c r="M16" i="13"/>
  <c r="M19" i="13" s="1"/>
  <c r="M12" i="13"/>
  <c r="T19" i="15"/>
  <c r="T20" i="15" s="1"/>
  <c r="O15" i="13"/>
  <c r="O14" i="13"/>
  <c r="O10" i="13"/>
  <c r="O11" i="13" s="1"/>
  <c r="S22" i="15"/>
  <c r="M25" i="13" s="1"/>
  <c r="S13" i="15"/>
  <c r="U15" i="15"/>
  <c r="U6" i="15"/>
  <c r="U10" i="15"/>
  <c r="U8" i="15"/>
  <c r="U17" i="15"/>
  <c r="T12" i="15"/>
  <c r="O24" i="13"/>
  <c r="U7" i="13"/>
  <c r="U9" i="13" s="1"/>
  <c r="O13" i="13"/>
  <c r="L28" i="13" l="1"/>
  <c r="L29" i="13" s="1"/>
  <c r="N20" i="13"/>
  <c r="N22" i="13" s="1"/>
  <c r="M20" i="13"/>
  <c r="M22" i="13" s="1"/>
  <c r="M27" i="13" s="1"/>
  <c r="M17" i="13"/>
  <c r="U19" i="15"/>
  <c r="U20" i="15" s="1"/>
  <c r="O16" i="13"/>
  <c r="O17" i="13" s="1"/>
  <c r="O12" i="13"/>
  <c r="N17" i="13"/>
  <c r="U12" i="15"/>
  <c r="T13" i="15"/>
  <c r="T22" i="15"/>
  <c r="N25" i="13" s="1"/>
  <c r="U10" i="13"/>
  <c r="U13" i="13" s="1"/>
  <c r="M28" i="13" l="1"/>
  <c r="M29" i="13" s="1"/>
  <c r="N27" i="13"/>
  <c r="U13" i="15"/>
  <c r="U22" i="15"/>
  <c r="O25" i="13" s="1"/>
  <c r="O19" i="13"/>
  <c r="N28" i="13" l="1"/>
  <c r="N29" i="13" s="1"/>
  <c r="O20" i="13"/>
  <c r="O22" i="13" s="1"/>
  <c r="O27" i="13" l="1"/>
  <c r="U21" i="13" l="1"/>
  <c r="O28" i="13"/>
  <c r="O29" i="13" s="1"/>
  <c r="R12" i="13" s="1"/>
  <c r="R7" i="13"/>
  <c r="R9" i="13" s="1"/>
  <c r="R21" i="13" s="1"/>
  <c r="U12" i="13" l="1"/>
  <c r="U14" i="13" s="1"/>
  <c r="U17" i="13" s="1"/>
  <c r="U19" i="13" s="1"/>
  <c r="H7" i="7" s="1"/>
  <c r="R10" i="13"/>
  <c r="R13" i="13" s="1"/>
  <c r="R14" i="13" s="1"/>
  <c r="R17" i="13" s="1"/>
  <c r="R19" i="13" s="1"/>
  <c r="H8" i="7" s="1"/>
  <c r="R26" i="13" l="1"/>
  <c r="H9" i="7" s="1"/>
  <c r="H1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Ganas</author>
  </authors>
  <commentList>
    <comment ref="M13" authorId="0" shapeId="0" xr:uid="{06CA676D-1B34-484F-A503-1042D88165E8}">
      <text>
        <r>
          <rPr>
            <b/>
            <sz val="9"/>
            <color rgb="FF000000"/>
            <rFont val="Tahoma"/>
            <family val="2"/>
          </rPr>
          <t>Dean Ganas: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Close to management's 35% non-Gaap S&amp;M, usually 5% higher than GAAP
</t>
        </r>
      </text>
    </comment>
    <comment ref="I33" authorId="0" shapeId="0" xr:uid="{A030314A-4F0E-44E3-B428-69169325D347}">
      <text>
        <r>
          <rPr>
            <b/>
            <sz val="9"/>
            <color rgb="FF000000"/>
            <rFont val="Tahoma"/>
            <family val="2"/>
          </rPr>
          <t>Dean Ganas: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Management guidance</t>
        </r>
      </text>
    </comment>
  </commentList>
</comments>
</file>

<file path=xl/sharedStrings.xml><?xml version="1.0" encoding="utf-8"?>
<sst xmlns="http://schemas.openxmlformats.org/spreadsheetml/2006/main" count="561" uniqueCount="285">
  <si>
    <t>Salesforce</t>
  </si>
  <si>
    <t>12 months
Jan-31-2021</t>
  </si>
  <si>
    <t>12 months
Jan-31-2022</t>
  </si>
  <si>
    <t>USD</t>
  </si>
  <si>
    <t>-</t>
  </si>
  <si>
    <t xml:space="preserve">For the Fiscal Period Ending
</t>
  </si>
  <si>
    <t>Currency</t>
  </si>
  <si>
    <t>Company</t>
  </si>
  <si>
    <t>Ticker</t>
  </si>
  <si>
    <t>Microsoft</t>
  </si>
  <si>
    <t>Workday</t>
  </si>
  <si>
    <t>Oracle</t>
  </si>
  <si>
    <t>ServiceNow</t>
  </si>
  <si>
    <t>Intuit</t>
  </si>
  <si>
    <t>SAP</t>
  </si>
  <si>
    <t>Adobe</t>
  </si>
  <si>
    <t>MSFT</t>
  </si>
  <si>
    <t>WDAY</t>
  </si>
  <si>
    <t>ORCL</t>
  </si>
  <si>
    <t>Market Cap ($bn)</t>
  </si>
  <si>
    <t>Enterprise Value ($bn)</t>
  </si>
  <si>
    <t>P/E</t>
  </si>
  <si>
    <t>EBITDA Margin (LTM)</t>
  </si>
  <si>
    <t>EV/EBITDA (LTM)</t>
  </si>
  <si>
    <t>Gross Margin (LTM)</t>
  </si>
  <si>
    <t>EV/Revenue (LTM)</t>
  </si>
  <si>
    <t>Gross Margin (NTM)</t>
  </si>
  <si>
    <t>EBITDA Margin (NTM)</t>
  </si>
  <si>
    <t>EV/EBITDA (NTM)</t>
  </si>
  <si>
    <t>EV Revenue (NTM)</t>
  </si>
  <si>
    <t>NOW</t>
  </si>
  <si>
    <t>INTU</t>
  </si>
  <si>
    <t>ADBE</t>
  </si>
  <si>
    <t>CRM</t>
  </si>
  <si>
    <t>Low</t>
  </si>
  <si>
    <t>Median</t>
  </si>
  <si>
    <t>Mean</t>
  </si>
  <si>
    <t>High</t>
  </si>
  <si>
    <t>Historical</t>
  </si>
  <si>
    <t>Finance Leases</t>
  </si>
  <si>
    <t>Loan Assumed on 50 Fremont - 3.75% - June 2023</t>
  </si>
  <si>
    <t>Operating Leases</t>
  </si>
  <si>
    <t>Senior Notes - 0.625% - July 2024</t>
  </si>
  <si>
    <t>Senior Notes - 1.95% - July 2031</t>
  </si>
  <si>
    <t>Senior Notes - 2.70% - July 2041</t>
  </si>
  <si>
    <t>Senior Notes - 2.90% - July 2051</t>
  </si>
  <si>
    <t>Senior Notes - 3.05% - July 2061</t>
  </si>
  <si>
    <t>Senior Notes - 3.25% - April 2023</t>
  </si>
  <si>
    <t>Senior Notes - 3.70% - April 2028</t>
  </si>
  <si>
    <t>Senior Sustainability Notes - 1.50% - July 2028</t>
  </si>
  <si>
    <t>Unsecured Revolving Credit Facility</t>
  </si>
  <si>
    <t>Debt</t>
  </si>
  <si>
    <t>Amount</t>
  </si>
  <si>
    <t>Rate</t>
  </si>
  <si>
    <t>Weighted Average</t>
  </si>
  <si>
    <t>Cost of Debt</t>
  </si>
  <si>
    <t>Total Debt</t>
  </si>
  <si>
    <t xml:space="preserve">
               </t>
  </si>
  <si>
    <t>Note: For multiple class companies, per share items are primary class equivalent, and for foreign companies listed as primary ADRs, per share items are ADR-equivalent.</t>
  </si>
  <si>
    <t xml:space="preserve">  Diluted EPS - Continuing Operations</t>
  </si>
  <si>
    <t xml:space="preserve">  Basic EPS - Continuing Operations</t>
  </si>
  <si>
    <t xml:space="preserve">  Operating Income (Loss)</t>
  </si>
  <si>
    <t xml:space="preserve">  Gross Profit/loss</t>
  </si>
  <si>
    <t>Supplementary Info</t>
  </si>
  <si>
    <t xml:space="preserve">  Net Income (Loss)</t>
  </si>
  <si>
    <t xml:space="preserve">  Provision for Income Tax</t>
  </si>
  <si>
    <t>Taxes and Other Expenses</t>
  </si>
  <si>
    <t xml:space="preserve">  Earnings before Taxes</t>
  </si>
  <si>
    <t xml:space="preserve">  Other Income/expense</t>
  </si>
  <si>
    <t xml:space="preserve">  Loss on Settlement of Salesforce.org Reseller Agreement</t>
  </si>
  <si>
    <t xml:space="preserve">  Gain on Strategic Investments, Net</t>
  </si>
  <si>
    <t xml:space="preserve">  Investment Income</t>
  </si>
  <si>
    <t xml:space="preserve">  Interest Expense</t>
  </si>
  <si>
    <t xml:space="preserve">  Research and Development</t>
  </si>
  <si>
    <t xml:space="preserve">  General and Administrative</t>
  </si>
  <si>
    <t xml:space="preserve">  Marketing and Sales</t>
  </si>
  <si>
    <t xml:space="preserve">  Subscription and Support</t>
  </si>
  <si>
    <t xml:space="preserve">  Professional Services Other</t>
  </si>
  <si>
    <t>Expenses</t>
  </si>
  <si>
    <t xml:space="preserve">  Total Revenues</t>
  </si>
  <si>
    <t>Revenues</t>
  </si>
  <si>
    <t>Millions</t>
  </si>
  <si>
    <t>Units</t>
  </si>
  <si>
    <t>12 months
Jan-31-2020</t>
  </si>
  <si>
    <t>12 months
Jan-31-2019</t>
  </si>
  <si>
    <t>12 months
Jan-31-2018</t>
  </si>
  <si>
    <t>12 months
Jan-31-2017</t>
  </si>
  <si>
    <t>Income Statement</t>
  </si>
  <si>
    <t> </t>
  </si>
  <si>
    <t>Capital IQ &amp; Proprietary Data</t>
  </si>
  <si>
    <t>Source:</t>
  </si>
  <si>
    <t>Capital IQ (Default)</t>
  </si>
  <si>
    <t>Decimals:</t>
  </si>
  <si>
    <t>S&amp;P Capital IQ (Default)</t>
  </si>
  <si>
    <t>Units:</t>
  </si>
  <si>
    <t>Conversion:</t>
  </si>
  <si>
    <t>Reported Currency</t>
  </si>
  <si>
    <t>Currency:</t>
  </si>
  <si>
    <t>Latest on Right</t>
  </si>
  <si>
    <t>Order:</t>
  </si>
  <si>
    <t>Annual</t>
  </si>
  <si>
    <t>Period Type:</t>
  </si>
  <si>
    <t>Latest Filings</t>
  </si>
  <si>
    <t>Restatement:</t>
  </si>
  <si>
    <t>As Presented</t>
  </si>
  <si>
    <t>Template:</t>
  </si>
  <si>
    <t>Salesforce, Inc. (NYSE:CRM) &gt; Financials &gt; Income Statement</t>
  </si>
  <si>
    <t>Salesforce, Inc. (NYSE:CRM) &gt; Financials &gt; Balance Sheet</t>
  </si>
  <si>
    <t>Balance Sheet</t>
  </si>
  <si>
    <t xml:space="preserve">Balance Sheet as of:
</t>
  </si>
  <si>
    <t>Thousands</t>
  </si>
  <si>
    <t>Current Assets</t>
  </si>
  <si>
    <t xml:space="preserve">  Cash and Cash Equivalents</t>
  </si>
  <si>
    <t xml:space="preserve">  Marketable Securities</t>
  </si>
  <si>
    <t xml:space="preserve">  Accounts Receivables</t>
  </si>
  <si>
    <t xml:space="preserve">  Prepaid Expenses and Other Current Assets</t>
  </si>
  <si>
    <t xml:space="preserve">  Deferred Commissions</t>
  </si>
  <si>
    <t xml:space="preserve">  Costs Capitalized to Obtain Revenue Contracts, Net</t>
  </si>
  <si>
    <t xml:space="preserve">  Total Current Assets</t>
  </si>
  <si>
    <t>Non Current Assets</t>
  </si>
  <si>
    <t xml:space="preserve">  Operating Lease Right-of-use Asset, Net</t>
  </si>
  <si>
    <t xml:space="preserve">  Fixed Assets-net</t>
  </si>
  <si>
    <t xml:space="preserve">  Strategic Investments</t>
  </si>
  <si>
    <t xml:space="preserve">  Goodwill</t>
  </si>
  <si>
    <t xml:space="preserve">  Intangible Assets Acquired through Business Combinations, Net</t>
  </si>
  <si>
    <t xml:space="preserve">  Capitalized Software-net</t>
  </si>
  <si>
    <t xml:space="preserve">  Deferred Commissions, Noncurrent</t>
  </si>
  <si>
    <t xml:space="preserve">  Costs Capitalized to Obtain Revenue Contracts, Noncurrent, Net</t>
  </si>
  <si>
    <t xml:space="preserve">  Noncurrent Costs Capitalized to Obtain Revenue Contracts, Net</t>
  </si>
  <si>
    <t xml:space="preserve">  Other Assets</t>
  </si>
  <si>
    <t xml:space="preserve">  Deferred Tax Assets and Other Assets, Net</t>
  </si>
  <si>
    <t xml:space="preserve">  Capitalized Software and Other Assets, Net</t>
  </si>
  <si>
    <t xml:space="preserve">  Total Assets</t>
  </si>
  <si>
    <t>Current Liabilities</t>
  </si>
  <si>
    <t xml:space="preserve">  Accounts Payable</t>
  </si>
  <si>
    <t xml:space="preserve">  Accounts Payable, Accrued Expenses and Other Liabilities</t>
  </si>
  <si>
    <t xml:space="preserve">  Accrued Compensation</t>
  </si>
  <si>
    <t xml:space="preserve">  Accrued Expenses and Other Liabilities</t>
  </si>
  <si>
    <t xml:space="preserve">  Current Portion of Debt</t>
  </si>
  <si>
    <t xml:space="preserve">  Operating Lease Liabilities: Current</t>
  </si>
  <si>
    <t xml:space="preserve">  Deferred Revenue</t>
  </si>
  <si>
    <t xml:space="preserve">  Total Current Liabilities</t>
  </si>
  <si>
    <t>Non Current Liabilities</t>
  </si>
  <si>
    <t xml:space="preserve">  Non Current Debt</t>
  </si>
  <si>
    <t xml:space="preserve">  Noncurrent Operating Lease Liabilities</t>
  </si>
  <si>
    <t xml:space="preserve">  Other Non-current Liabilities</t>
  </si>
  <si>
    <t>Shareholders' Equity</t>
  </si>
  <si>
    <t xml:space="preserve">  Common Stock - Par Value</t>
  </si>
  <si>
    <t xml:space="preserve">  Additional Paid in Capital</t>
  </si>
  <si>
    <t xml:space="preserve">  Retained Earnings (Accumulated Deficit)</t>
  </si>
  <si>
    <t xml:space="preserve">  Accumulated Other Comprehensive Income (Loss)</t>
  </si>
  <si>
    <t xml:space="preserve">  Total Shareholders Equity</t>
  </si>
  <si>
    <t xml:space="preserve">  Total Liabilities &amp; Shareholders Equity</t>
  </si>
  <si>
    <t>Note: For multiple class companies, total share counts are primary class equivalent, and for foreign companies listed as primary ADRs, total share counts are ADR-equivalent.</t>
  </si>
  <si>
    <t>Title Of Page</t>
  </si>
  <si>
    <t>$ in millions</t>
  </si>
  <si>
    <t>Drivers</t>
  </si>
  <si>
    <t>Case Selection</t>
  </si>
  <si>
    <t>Base</t>
  </si>
  <si>
    <t>Bear</t>
  </si>
  <si>
    <t>Bull</t>
  </si>
  <si>
    <t xml:space="preserve">Revenue Growth </t>
  </si>
  <si>
    <t>S&amp;M % of Revenue</t>
  </si>
  <si>
    <t>R&amp;D % of Revenue</t>
  </si>
  <si>
    <t>G&amp;A % of Revenue</t>
  </si>
  <si>
    <t>Amortization of Acquired Intangibles</t>
  </si>
  <si>
    <t>Stock Based Compensation</t>
  </si>
  <si>
    <t>Amortization of Acquired Intangibles % of Revenue</t>
  </si>
  <si>
    <t>Capex</t>
  </si>
  <si>
    <t>NWC Build</t>
  </si>
  <si>
    <t>A/R % of Revenue</t>
  </si>
  <si>
    <t>Deferred Revenue % of Revenue</t>
  </si>
  <si>
    <t>Prepaid Expenses % of Revenue</t>
  </si>
  <si>
    <t>A/P % of Revenue</t>
  </si>
  <si>
    <t>DCF Analysis</t>
  </si>
  <si>
    <t>Stub</t>
  </si>
  <si>
    <t>Discount Period</t>
  </si>
  <si>
    <t>Revenue</t>
  </si>
  <si>
    <t>COGS</t>
  </si>
  <si>
    <t>D&amp;A</t>
  </si>
  <si>
    <t>EBIT</t>
  </si>
  <si>
    <t>EBIT  Margin</t>
  </si>
  <si>
    <t>Effective Tax Rate</t>
  </si>
  <si>
    <t>NOPAT</t>
  </si>
  <si>
    <t>Change in NWC</t>
  </si>
  <si>
    <t>UFCF</t>
  </si>
  <si>
    <t>PV of UFCF</t>
  </si>
  <si>
    <t>Weighted Average Cost of Capital</t>
  </si>
  <si>
    <t>Market Risk Premium</t>
  </si>
  <si>
    <t>Adjusted Beta</t>
  </si>
  <si>
    <t>Risk Free Rate</t>
  </si>
  <si>
    <t>Cost of Equity</t>
  </si>
  <si>
    <t xml:space="preserve">Pre-Tax Cost of Debt </t>
  </si>
  <si>
    <t>Tax Rate</t>
  </si>
  <si>
    <t>Post-Tax Cost of Debt</t>
  </si>
  <si>
    <t>Total Equity</t>
  </si>
  <si>
    <t>Toal Debt</t>
  </si>
  <si>
    <t>Equity / Total Capitalization</t>
  </si>
  <si>
    <t>Debt / Total Capitalization</t>
  </si>
  <si>
    <t>WACC</t>
  </si>
  <si>
    <t>R&amp;D</t>
  </si>
  <si>
    <t>S&amp;M</t>
  </si>
  <si>
    <t>G&amp;A</t>
  </si>
  <si>
    <t>COGS % of Revenue</t>
  </si>
  <si>
    <t>Adjusted EBIT</t>
  </si>
  <si>
    <t>Amoritization of Intangibles</t>
  </si>
  <si>
    <t>NWC</t>
  </si>
  <si>
    <t>Acquisition Costs</t>
  </si>
  <si>
    <t>Terminal Value</t>
  </si>
  <si>
    <t>Perpetuity Growth Method</t>
  </si>
  <si>
    <t>2035 FCF</t>
  </si>
  <si>
    <t>Perpetuity Growth Rate</t>
  </si>
  <si>
    <t>PV of Terminal Value</t>
  </si>
  <si>
    <t>Adj. PV</t>
  </si>
  <si>
    <t>PV of Projection Period</t>
  </si>
  <si>
    <t>Implied TEV</t>
  </si>
  <si>
    <t>(-) Debt</t>
  </si>
  <si>
    <t>(+) Cash</t>
  </si>
  <si>
    <t>Implied Equity Value</t>
  </si>
  <si>
    <t>Diluted Shares Outstanding</t>
  </si>
  <si>
    <t>Share Price</t>
  </si>
  <si>
    <t>EV/Revenue</t>
  </si>
  <si>
    <t>2035 Revenue</t>
  </si>
  <si>
    <t>PV of Terminal value</t>
  </si>
  <si>
    <t>Implied EV/Revenue</t>
  </si>
  <si>
    <t>Implied PGR</t>
  </si>
  <si>
    <t>Blended Share Price</t>
  </si>
  <si>
    <t>Exit Multiple Method</t>
  </si>
  <si>
    <t>Account Receivable</t>
  </si>
  <si>
    <t>% of Revenue</t>
  </si>
  <si>
    <t>Prepaid Expenses</t>
  </si>
  <si>
    <t>Costs to Gain Revenue</t>
  </si>
  <si>
    <t>Current Non-Cash Assets</t>
  </si>
  <si>
    <t>Accounts Payable</t>
  </si>
  <si>
    <t>Deferred Revenue</t>
  </si>
  <si>
    <t>Net Working Capital Build</t>
  </si>
  <si>
    <t>EV/Revenue Exit Multiple</t>
  </si>
  <si>
    <t>Gross Profit</t>
  </si>
  <si>
    <t>Gross Profit Margin</t>
  </si>
  <si>
    <t>Price</t>
  </si>
  <si>
    <t>Maturity Date</t>
  </si>
  <si>
    <t>Yield to Maturiy</t>
  </si>
  <si>
    <t>Sales</t>
  </si>
  <si>
    <t>TAM</t>
  </si>
  <si>
    <t>Salesforce Revenue</t>
  </si>
  <si>
    <t>Market Share</t>
  </si>
  <si>
    <t>Customer Service and Support</t>
  </si>
  <si>
    <t>Marketing</t>
  </si>
  <si>
    <t>Digital Commerce</t>
  </si>
  <si>
    <t>Application PaaS</t>
  </si>
  <si>
    <t>Analytics</t>
  </si>
  <si>
    <t>Integration Platforms</t>
  </si>
  <si>
    <t>Salesforce revenue</t>
  </si>
  <si>
    <t>Workstream Collaboration</t>
  </si>
  <si>
    <t>Total</t>
  </si>
  <si>
    <t>Bear:</t>
  </si>
  <si>
    <t>Base:</t>
  </si>
  <si>
    <t>Bull:</t>
  </si>
  <si>
    <t>Market CAGR</t>
  </si>
  <si>
    <r>
      <t>Acquisitions as %</t>
    </r>
    <r>
      <rPr>
        <sz val="11"/>
        <color theme="1"/>
        <rFont val="Calibri (Body)"/>
      </rPr>
      <t xml:space="preserve"> of Revenue</t>
    </r>
  </si>
  <si>
    <t>Average Acquisition as % of Revenue</t>
  </si>
  <si>
    <t xml:space="preserve"> Total Market CAGR</t>
  </si>
  <si>
    <t>Products do not succeed as planned and they need to continue to maintain high marketing levels to add new customers</t>
  </si>
  <si>
    <t>Prdocuts succeed and they can reduce marketing levels as they need to market less and can generate cross product expansion</t>
  </si>
  <si>
    <t>Products are highly successful and they can generate high growth with reducing levels of marketing</t>
  </si>
  <si>
    <t>Current products are unsuccessful and they need to continue to innovate to generate sales</t>
  </si>
  <si>
    <t>Current products are successful and they can reduce R&amp;D as they integrate past acquisitions to drive growth</t>
  </si>
  <si>
    <t>Genie and other new products are very successful and they can maintain high growth with current products</t>
  </si>
  <si>
    <t>Company does not become more  efficient as it expands</t>
  </si>
  <si>
    <t>Becomes more operationally efficient as company expands and less integration costs</t>
  </si>
  <si>
    <t>Much more operationally efficient and much less integration costs as they do not have any more major acquisitions</t>
  </si>
  <si>
    <t>Salesforce continues to acquire companies at high premiums resulting in $50bn in acquisition costs during projection period</t>
  </si>
  <si>
    <t>Salesforce slows down acquisitions according to management guidance and has $20bn in acquisition costs during projection period</t>
  </si>
  <si>
    <t>Major slowdown in acquisitions resulting in $10bn in acquisition costs during projection period</t>
  </si>
  <si>
    <t>Salesforce Inc. (CRM)</t>
  </si>
  <si>
    <t>Notre Dame Investment Club</t>
  </si>
  <si>
    <t>Valuation Date</t>
  </si>
  <si>
    <t>Current Share Price</t>
  </si>
  <si>
    <t>DCF Valuation</t>
  </si>
  <si>
    <t>Terminal Growth Rate Method</t>
  </si>
  <si>
    <t>Upside/Downside</t>
  </si>
  <si>
    <t>Revenue Build</t>
  </si>
  <si>
    <t>Tax Expense</t>
  </si>
  <si>
    <t>D&amp;A of PPE</t>
  </si>
  <si>
    <t>&amp;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</si>
</sst>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_)\ ;_(* 0_)"/>
    <numFmt numFmtId="166" formatCode="_(\ #,##0.00&quot; E&quot;_);_(\(\ #,##0.00&quot; E&quot;\)_);_(\ #,##0.00&quot; E&quot;_)"/>
    <numFmt numFmtId="167" formatCode="General\x"/>
    <numFmt numFmtId="168" formatCode="_(\ #,##0.0_);_(\ \(#,##0.0\)_);_(\ &quot; - &quot;_)"/>
    <numFmt numFmtId="169" formatCode="_(* #,##0.0#_);_(* \(#,##0.0#\)_)\ ;_(* 0_)"/>
    <numFmt numFmtId="170" formatCode="mmm\-dd\-yyyy"/>
    <numFmt numFmtId="171" formatCode="m/d/yy;@"/>
    <numFmt numFmtId="172" formatCode="_(&quot;$&quot;* #,##0_);_(&quot;$&quot;* \(#,##0\);_(&quot;$&quot;* &quot;-&quot;??_);_(@_)"/>
    <numFmt numFmtId="173" formatCode="0.00&quot;x&quot;"/>
    <numFmt numFmtId="174" formatCode="mm/dd/yy;@"/>
  </numFmts>
  <fonts count="5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sz val="1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"/>
      <color indexed="9"/>
      <name val="Symbol"/>
      <charset val="2"/>
    </font>
    <font>
      <b/>
      <sz val="8"/>
      <color indexed="9"/>
      <name val="Verdana"/>
      <family val="2"/>
    </font>
    <font>
      <b/>
      <sz val="8"/>
      <name val="Arial"/>
      <family val="2"/>
    </font>
    <font>
      <b/>
      <sz val="13"/>
      <color indexed="8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9"/>
      <name val="Symbol"/>
      <family val="1"/>
      <charset val="2"/>
    </font>
    <font>
      <sz val="10"/>
      <name val="Times New Roman"/>
      <family val="1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0"/>
      <color theme="9"/>
      <name val="Times New Roman"/>
      <family val="1"/>
    </font>
    <font>
      <sz val="11"/>
      <color theme="1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Garamond"/>
      <family val="1"/>
    </font>
    <font>
      <sz val="11"/>
      <color theme="0"/>
      <name val="Garamond"/>
      <family val="1"/>
    </font>
    <font>
      <sz val="12"/>
      <color theme="1"/>
      <name val="Garamond"/>
      <family val="1"/>
    </font>
    <font>
      <sz val="10"/>
      <color rgb="FF000000"/>
      <name val="Garamond"/>
      <family val="1"/>
    </font>
    <font>
      <b/>
      <sz val="11"/>
      <color theme="0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i/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15" fillId="0" borderId="0" applyAlignment="0"/>
    <xf numFmtId="0" fontId="1" fillId="0" borderId="0"/>
    <xf numFmtId="0" fontId="25" fillId="0" borderId="0"/>
    <xf numFmtId="0" fontId="26" fillId="0" borderId="0" applyAlignment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9">
    <xf numFmtId="0" fontId="0" fillId="0" borderId="0" xfId="0"/>
    <xf numFmtId="0" fontId="0" fillId="0" borderId="9" xfId="0" applyBorder="1"/>
    <xf numFmtId="164" fontId="0" fillId="0" borderId="10" xfId="1" applyNumberFormat="1" applyFont="1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3" fontId="6" fillId="0" borderId="18" xfId="0" applyNumberFormat="1" applyFont="1" applyBorder="1"/>
    <xf numFmtId="164" fontId="0" fillId="0" borderId="18" xfId="1" applyNumberFormat="1" applyFont="1" applyBorder="1"/>
    <xf numFmtId="164" fontId="6" fillId="0" borderId="18" xfId="0" applyNumberFormat="1" applyFont="1" applyBorder="1"/>
    <xf numFmtId="0" fontId="0" fillId="0" borderId="20" xfId="0" applyBorder="1"/>
    <xf numFmtId="0" fontId="0" fillId="0" borderId="21" xfId="0" applyBorder="1"/>
    <xf numFmtId="164" fontId="0" fillId="0" borderId="21" xfId="0" applyNumberFormat="1" applyBorder="1"/>
    <xf numFmtId="164" fontId="6" fillId="0" borderId="21" xfId="0" applyNumberFormat="1" applyFont="1" applyBorder="1"/>
    <xf numFmtId="3" fontId="6" fillId="0" borderId="21" xfId="0" applyNumberFormat="1" applyFont="1" applyBorder="1"/>
    <xf numFmtId="167" fontId="6" fillId="0" borderId="18" xfId="0" applyNumberFormat="1" applyFont="1" applyBorder="1"/>
    <xf numFmtId="167" fontId="0" fillId="0" borderId="18" xfId="0" applyNumberFormat="1" applyBorder="1"/>
    <xf numFmtId="167" fontId="6" fillId="0" borderId="19" xfId="0" applyNumberFormat="1" applyFont="1" applyBorder="1"/>
    <xf numFmtId="167" fontId="6" fillId="0" borderId="21" xfId="0" applyNumberFormat="1" applyFont="1" applyBorder="1"/>
    <xf numFmtId="167" fontId="0" fillId="0" borderId="21" xfId="0" applyNumberFormat="1" applyBorder="1"/>
    <xf numFmtId="167" fontId="6" fillId="0" borderId="22" xfId="0" applyNumberFormat="1" applyFont="1" applyBorder="1"/>
    <xf numFmtId="3" fontId="0" fillId="0" borderId="10" xfId="0" applyNumberFormat="1" applyBorder="1"/>
    <xf numFmtId="164" fontId="0" fillId="0" borderId="0" xfId="1" applyNumberFormat="1" applyFont="1" applyBorder="1"/>
    <xf numFmtId="3" fontId="0" fillId="0" borderId="15" xfId="0" applyNumberFormat="1" applyBorder="1"/>
    <xf numFmtId="164" fontId="0" fillId="0" borderId="15" xfId="1" applyNumberFormat="1" applyFont="1" applyBorder="1"/>
    <xf numFmtId="168" fontId="8" fillId="0" borderId="0" xfId="0" applyNumberFormat="1" applyFont="1" applyAlignment="1">
      <alignment horizontal="center" vertical="top" wrapText="1"/>
    </xf>
    <xf numFmtId="10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8" fillId="0" borderId="2" xfId="0" applyFont="1" applyBorder="1" applyAlignment="1">
      <alignment vertical="top" wrapText="1"/>
    </xf>
    <xf numFmtId="10" fontId="0" fillId="0" borderId="6" xfId="1" applyNumberFormat="1" applyFont="1" applyFill="1" applyBorder="1" applyAlignment="1">
      <alignment horizontal="center"/>
    </xf>
    <xf numFmtId="10" fontId="0" fillId="0" borderId="6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168" fontId="0" fillId="0" borderId="1" xfId="0" applyNumberForma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/>
    </xf>
    <xf numFmtId="0" fontId="12" fillId="0" borderId="0" xfId="2" applyFont="1"/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vertical="top" wrapText="1"/>
    </xf>
    <xf numFmtId="169" fontId="13" fillId="0" borderId="0" xfId="2" applyNumberFormat="1" applyFont="1" applyAlignment="1">
      <alignment horizontal="right" vertical="top" wrapText="1"/>
    </xf>
    <xf numFmtId="0" fontId="13" fillId="0" borderId="0" xfId="2" applyFont="1" applyAlignment="1">
      <alignment horizontal="left" vertical="top"/>
    </xf>
    <xf numFmtId="0" fontId="14" fillId="0" borderId="0" xfId="2" applyFont="1" applyAlignment="1">
      <alignment horizontal="left" vertical="top"/>
    </xf>
    <xf numFmtId="165" fontId="14" fillId="0" borderId="0" xfId="2" applyNumberFormat="1" applyFont="1" applyAlignment="1">
      <alignment horizontal="right" vertical="top" wrapText="1"/>
    </xf>
    <xf numFmtId="165" fontId="13" fillId="0" borderId="0" xfId="2" applyNumberFormat="1" applyFont="1" applyAlignment="1">
      <alignment horizontal="right" vertical="top" wrapText="1"/>
    </xf>
    <xf numFmtId="0" fontId="15" fillId="0" borderId="0" xfId="3" applyAlignment="1"/>
    <xf numFmtId="0" fontId="16" fillId="3" borderId="0" xfId="2" applyFont="1" applyFill="1"/>
    <xf numFmtId="0" fontId="13" fillId="0" borderId="0" xfId="2" applyFont="1" applyAlignment="1">
      <alignment horizontal="left" vertical="center"/>
    </xf>
    <xf numFmtId="0" fontId="17" fillId="0" borderId="0" xfId="2" applyFont="1"/>
    <xf numFmtId="49" fontId="12" fillId="0" borderId="0" xfId="2" applyNumberFormat="1" applyFont="1"/>
    <xf numFmtId="0" fontId="18" fillId="0" borderId="0" xfId="2" applyFont="1"/>
    <xf numFmtId="0" fontId="1" fillId="0" borderId="0" xfId="0" applyFont="1"/>
    <xf numFmtId="9" fontId="1" fillId="0" borderId="0" xfId="0" applyNumberFormat="1" applyFont="1"/>
    <xf numFmtId="166" fontId="19" fillId="0" borderId="0" xfId="0" applyNumberFormat="1" applyFont="1" applyAlignment="1">
      <alignment horizontal="right"/>
    </xf>
    <xf numFmtId="0" fontId="5" fillId="2" borderId="0" xfId="0" applyFont="1" applyFill="1"/>
    <xf numFmtId="0" fontId="9" fillId="2" borderId="0" xfId="0" applyFont="1" applyFill="1"/>
    <xf numFmtId="0" fontId="21" fillId="0" borderId="0" xfId="0" applyFont="1"/>
    <xf numFmtId="0" fontId="5" fillId="0" borderId="0" xfId="0" applyFont="1"/>
    <xf numFmtId="166" fontId="22" fillId="0" borderId="0" xfId="0" applyNumberFormat="1" applyFont="1" applyAlignment="1">
      <alignment horizontal="left"/>
    </xf>
    <xf numFmtId="0" fontId="10" fillId="0" borderId="4" xfId="0" applyFont="1" applyBorder="1" applyAlignment="1">
      <alignment horizontal="center"/>
    </xf>
    <xf numFmtId="171" fontId="22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1" fontId="22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left" indent="1"/>
    </xf>
    <xf numFmtId="164" fontId="1" fillId="0" borderId="0" xfId="0" applyNumberFormat="1" applyFont="1"/>
    <xf numFmtId="164" fontId="23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Border="1"/>
    <xf numFmtId="164" fontId="10" fillId="4" borderId="24" xfId="0" applyNumberFormat="1" applyFont="1" applyFill="1" applyBorder="1"/>
    <xf numFmtId="164" fontId="10" fillId="4" borderId="21" xfId="0" applyNumberFormat="1" applyFont="1" applyFill="1" applyBorder="1"/>
    <xf numFmtId="164" fontId="10" fillId="4" borderId="25" xfId="0" applyNumberFormat="1" applyFont="1" applyFill="1" applyBorder="1"/>
    <xf numFmtId="0" fontId="24" fillId="0" borderId="0" xfId="0" applyFont="1"/>
    <xf numFmtId="0" fontId="1" fillId="0" borderId="0" xfId="0" applyFont="1" applyFill="1"/>
    <xf numFmtId="10" fontId="1" fillId="0" borderId="0" xfId="1" applyNumberFormat="1" applyFont="1" applyFill="1"/>
    <xf numFmtId="10" fontId="1" fillId="0" borderId="0" xfId="0" applyNumberFormat="1" applyFont="1" applyFill="1"/>
    <xf numFmtId="9" fontId="1" fillId="0" borderId="0" xfId="0" applyNumberFormat="1" applyFont="1" applyFill="1"/>
    <xf numFmtId="3" fontId="20" fillId="0" borderId="0" xfId="0" applyNumberFormat="1" applyFont="1" applyFill="1"/>
    <xf numFmtId="9" fontId="1" fillId="0" borderId="0" xfId="1" applyFont="1" applyFill="1"/>
    <xf numFmtId="1" fontId="27" fillId="0" borderId="0" xfId="5" applyNumberFormat="1" applyFont="1" applyAlignment="1">
      <alignment vertical="center" wrapText="1"/>
    </xf>
    <xf numFmtId="0" fontId="4" fillId="0" borderId="0" xfId="2" applyFont="1"/>
    <xf numFmtId="165" fontId="28" fillId="0" borderId="0" xfId="2" applyNumberFormat="1" applyFont="1" applyAlignment="1">
      <alignment horizontal="right" vertical="top" wrapText="1"/>
    </xf>
    <xf numFmtId="9" fontId="20" fillId="0" borderId="0" xfId="0" applyNumberFormat="1" applyFont="1" applyFill="1"/>
    <xf numFmtId="9" fontId="10" fillId="0" borderId="2" xfId="0" applyNumberFormat="1" applyFont="1" applyBorder="1"/>
    <xf numFmtId="9" fontId="10" fillId="0" borderId="0" xfId="0" applyNumberFormat="1" applyFont="1" applyBorder="1"/>
    <xf numFmtId="0" fontId="29" fillId="2" borderId="0" xfId="2" applyFont="1" applyFill="1" applyAlignment="1">
      <alignment wrapText="1"/>
    </xf>
    <xf numFmtId="170" fontId="29" fillId="2" borderId="0" xfId="2" applyNumberFormat="1" applyFont="1" applyFill="1" applyAlignment="1">
      <alignment horizontal="right" wrapText="1"/>
    </xf>
    <xf numFmtId="0" fontId="30" fillId="2" borderId="0" xfId="2" applyFont="1" applyFill="1" applyAlignment="1">
      <alignment wrapText="1"/>
    </xf>
    <xf numFmtId="0" fontId="30" fillId="2" borderId="0" xfId="2" applyFont="1" applyFill="1" applyAlignment="1">
      <alignment horizontal="right" wrapText="1"/>
    </xf>
    <xf numFmtId="0" fontId="29" fillId="2" borderId="0" xfId="2" applyFont="1" applyFill="1" applyAlignment="1">
      <alignment horizontal="right" wrapText="1"/>
    </xf>
    <xf numFmtId="172" fontId="1" fillId="0" borderId="0" xfId="0" applyNumberFormat="1" applyFont="1"/>
    <xf numFmtId="172" fontId="1" fillId="0" borderId="6" xfId="0" applyNumberFormat="1" applyFont="1" applyBorder="1"/>
    <xf numFmtId="0" fontId="1" fillId="0" borderId="24" xfId="0" applyFont="1" applyBorder="1"/>
    <xf numFmtId="171" fontId="22" fillId="0" borderId="0" xfId="0" applyNumberFormat="1" applyFont="1" applyBorder="1" applyAlignment="1">
      <alignment horizontal="center"/>
    </xf>
    <xf numFmtId="0" fontId="1" fillId="0" borderId="3" xfId="0" applyFont="1" applyBorder="1"/>
    <xf numFmtId="44" fontId="1" fillId="0" borderId="4" xfId="1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9" fontId="1" fillId="0" borderId="0" xfId="1" applyFont="1" applyBorder="1"/>
    <xf numFmtId="9" fontId="1" fillId="0" borderId="0" xfId="0" applyNumberFormat="1" applyFont="1" applyBorder="1"/>
    <xf numFmtId="9" fontId="1" fillId="0" borderId="6" xfId="0" applyNumberFormat="1" applyFont="1" applyBorder="1"/>
    <xf numFmtId="44" fontId="1" fillId="0" borderId="0" xfId="10" applyFont="1" applyBorder="1"/>
    <xf numFmtId="44" fontId="1" fillId="0" borderId="6" xfId="10" applyFont="1" applyBorder="1"/>
    <xf numFmtId="44" fontId="1" fillId="0" borderId="0" xfId="0" applyNumberFormat="1" applyFont="1" applyBorder="1"/>
    <xf numFmtId="44" fontId="1" fillId="0" borderId="6" xfId="0" applyNumberFormat="1" applyFont="1" applyBorder="1"/>
    <xf numFmtId="0" fontId="20" fillId="0" borderId="7" xfId="0" applyFont="1" applyBorder="1"/>
    <xf numFmtId="9" fontId="1" fillId="0" borderId="1" xfId="1" applyFont="1" applyBorder="1"/>
    <xf numFmtId="9" fontId="1" fillId="0" borderId="8" xfId="1" applyFont="1" applyBorder="1"/>
    <xf numFmtId="0" fontId="1" fillId="0" borderId="4" xfId="0" applyFont="1" applyBorder="1"/>
    <xf numFmtId="44" fontId="1" fillId="0" borderId="5" xfId="10" applyFont="1" applyBorder="1"/>
    <xf numFmtId="0" fontId="20" fillId="0" borderId="2" xfId="0" applyFont="1" applyBorder="1"/>
    <xf numFmtId="0" fontId="1" fillId="0" borderId="0" xfId="0" applyFont="1" applyBorder="1"/>
    <xf numFmtId="9" fontId="1" fillId="0" borderId="6" xfId="1" applyFont="1" applyBorder="1"/>
    <xf numFmtId="0" fontId="1" fillId="0" borderId="7" xfId="0" applyFont="1" applyBorder="1"/>
    <xf numFmtId="44" fontId="1" fillId="0" borderId="21" xfId="0" applyNumberFormat="1" applyFont="1" applyBorder="1"/>
    <xf numFmtId="44" fontId="1" fillId="0" borderId="25" xfId="0" applyNumberFormat="1" applyFont="1" applyBorder="1"/>
    <xf numFmtId="164" fontId="1" fillId="0" borderId="0" xfId="1" applyNumberFormat="1" applyFont="1"/>
    <xf numFmtId="10" fontId="1" fillId="0" borderId="2" xfId="0" applyNumberFormat="1" applyFont="1" applyBorder="1"/>
    <xf numFmtId="164" fontId="10" fillId="6" borderId="23" xfId="1" applyNumberFormat="1" applyFont="1" applyFill="1" applyBorder="1"/>
    <xf numFmtId="173" fontId="1" fillId="0" borderId="2" xfId="11" applyNumberFormat="1" applyFont="1" applyBorder="1"/>
    <xf numFmtId="173" fontId="10" fillId="6" borderId="23" xfId="11" applyNumberFormat="1" applyFont="1" applyFill="1" applyBorder="1"/>
    <xf numFmtId="164" fontId="7" fillId="0" borderId="18" xfId="0" applyNumberFormat="1" applyFont="1" applyBorder="1"/>
    <xf numFmtId="173" fontId="0" fillId="0" borderId="10" xfId="0" applyNumberFormat="1" applyBorder="1"/>
    <xf numFmtId="173" fontId="0" fillId="0" borderId="15" xfId="0" applyNumberFormat="1" applyBorder="1"/>
    <xf numFmtId="173" fontId="0" fillId="0" borderId="11" xfId="0" applyNumberFormat="1" applyBorder="1"/>
    <xf numFmtId="173" fontId="0" fillId="0" borderId="16" xfId="0" applyNumberFormat="1" applyBorder="1"/>
    <xf numFmtId="3" fontId="0" fillId="0" borderId="0" xfId="0" applyNumberFormat="1" applyBorder="1"/>
    <xf numFmtId="173" fontId="0" fillId="0" borderId="0" xfId="0" applyNumberFormat="1" applyBorder="1"/>
    <xf numFmtId="173" fontId="0" fillId="0" borderId="13" xfId="0" applyNumberFormat="1" applyBorder="1"/>
    <xf numFmtId="0" fontId="0" fillId="5" borderId="14" xfId="0" applyFill="1" applyBorder="1"/>
    <xf numFmtId="0" fontId="0" fillId="5" borderId="15" xfId="0" applyFill="1" applyBorder="1"/>
    <xf numFmtId="3" fontId="6" fillId="5" borderId="15" xfId="0" applyNumberFormat="1" applyFont="1" applyFill="1" applyBorder="1"/>
    <xf numFmtId="164" fontId="6" fillId="5" borderId="15" xfId="0" applyNumberFormat="1" applyFont="1" applyFill="1" applyBorder="1"/>
    <xf numFmtId="164" fontId="0" fillId="5" borderId="15" xfId="0" applyNumberFormat="1" applyFill="1" applyBorder="1"/>
    <xf numFmtId="167" fontId="0" fillId="5" borderId="15" xfId="0" applyNumberFormat="1" applyFill="1" applyBorder="1"/>
    <xf numFmtId="167" fontId="6" fillId="5" borderId="15" xfId="0" applyNumberFormat="1" applyFont="1" applyFill="1" applyBorder="1"/>
    <xf numFmtId="167" fontId="6" fillId="5" borderId="16" xfId="0" applyNumberFormat="1" applyFont="1" applyFill="1" applyBorder="1"/>
    <xf numFmtId="0" fontId="0" fillId="0" borderId="4" xfId="0" applyBorder="1"/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8" fillId="0" borderId="0" xfId="0" applyNumberFormat="1" applyFont="1" applyBorder="1" applyAlignment="1">
      <alignment vertical="top" wrapText="1"/>
    </xf>
    <xf numFmtId="9" fontId="1" fillId="0" borderId="0" xfId="1" applyFont="1"/>
    <xf numFmtId="44" fontId="1" fillId="0" borderId="0" xfId="10" applyFont="1" applyFill="1"/>
    <xf numFmtId="10" fontId="1" fillId="0" borderId="0" xfId="0" applyNumberFormat="1" applyFont="1"/>
    <xf numFmtId="44" fontId="1" fillId="0" borderId="0" xfId="10" applyFont="1"/>
    <xf numFmtId="172" fontId="1" fillId="0" borderId="0" xfId="10" applyNumberFormat="1" applyFont="1"/>
    <xf numFmtId="0" fontId="1" fillId="5" borderId="36" xfId="0" applyFont="1" applyFill="1" applyBorder="1"/>
    <xf numFmtId="0" fontId="1" fillId="5" borderId="37" xfId="0" applyFont="1" applyFill="1" applyBorder="1"/>
    <xf numFmtId="172" fontId="1" fillId="5" borderId="37" xfId="10" applyNumberFormat="1" applyFont="1" applyFill="1" applyBorder="1"/>
    <xf numFmtId="172" fontId="1" fillId="5" borderId="38" xfId="1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164" fontId="1" fillId="0" borderId="0" xfId="1" applyNumberFormat="1" applyFont="1" applyBorder="1"/>
    <xf numFmtId="10" fontId="1" fillId="0" borderId="1" xfId="0" applyNumberFormat="1" applyFont="1" applyFill="1" applyBorder="1"/>
    <xf numFmtId="164" fontId="1" fillId="0" borderId="1" xfId="1" applyNumberFormat="1" applyFont="1" applyBorder="1"/>
    <xf numFmtId="164" fontId="1" fillId="0" borderId="43" xfId="0" applyNumberFormat="1" applyFont="1" applyBorder="1"/>
    <xf numFmtId="164" fontId="1" fillId="0" borderId="39" xfId="0" applyNumberFormat="1" applyFont="1" applyBorder="1"/>
    <xf numFmtId="164" fontId="1" fillId="0" borderId="44" xfId="0" applyNumberFormat="1" applyFont="1" applyBorder="1"/>
    <xf numFmtId="5" fontId="34" fillId="0" borderId="0" xfId="0" applyNumberFormat="1" applyFont="1"/>
    <xf numFmtId="164" fontId="12" fillId="0" borderId="0" xfId="1" applyNumberFormat="1" applyFont="1"/>
    <xf numFmtId="14" fontId="1" fillId="0" borderId="0" xfId="0" applyNumberFormat="1" applyFont="1"/>
    <xf numFmtId="4" fontId="1" fillId="0" borderId="0" xfId="0" applyNumberFormat="1" applyFont="1"/>
    <xf numFmtId="10" fontId="1" fillId="0" borderId="0" xfId="1" applyNumberFormat="1" applyFont="1"/>
    <xf numFmtId="0" fontId="1" fillId="0" borderId="6" xfId="0" applyFont="1" applyBorder="1"/>
    <xf numFmtId="172" fontId="1" fillId="0" borderId="6" xfId="10" applyNumberFormat="1" applyFont="1" applyBorder="1"/>
    <xf numFmtId="164" fontId="1" fillId="0" borderId="6" xfId="1" applyNumberFormat="1" applyFont="1" applyBorder="1"/>
    <xf numFmtId="0" fontId="1" fillId="0" borderId="8" xfId="0" applyFont="1" applyBorder="1"/>
    <xf numFmtId="164" fontId="1" fillId="0" borderId="6" xfId="0" applyNumberFormat="1" applyFont="1" applyBorder="1"/>
    <xf numFmtId="164" fontId="1" fillId="0" borderId="6" xfId="1" applyNumberFormat="1" applyFont="1" applyFill="1" applyBorder="1"/>
    <xf numFmtId="44" fontId="1" fillId="0" borderId="6" xfId="10" applyFont="1" applyFill="1" applyBorder="1"/>
    <xf numFmtId="164" fontId="1" fillId="0" borderId="8" xfId="1" applyNumberFormat="1" applyFont="1" applyBorder="1"/>
    <xf numFmtId="0" fontId="33" fillId="0" borderId="0" xfId="0" applyFont="1" applyBorder="1"/>
    <xf numFmtId="166" fontId="19" fillId="0" borderId="1" xfId="0" applyNumberFormat="1" applyFont="1" applyBorder="1" applyAlignment="1"/>
    <xf numFmtId="10" fontId="19" fillId="0" borderId="1" xfId="1" applyNumberFormat="1" applyFont="1" applyBorder="1" applyAlignment="1"/>
    <xf numFmtId="172" fontId="1" fillId="0" borderId="0" xfId="10" applyNumberFormat="1" applyFont="1" applyBorder="1"/>
    <xf numFmtId="164" fontId="1" fillId="0" borderId="0" xfId="1" applyNumberFormat="1" applyFont="1" applyFill="1" applyBorder="1" applyAlignment="1"/>
    <xf numFmtId="164" fontId="1" fillId="0" borderId="0" xfId="1" applyNumberFormat="1" applyFont="1" applyFill="1" applyBorder="1"/>
    <xf numFmtId="0" fontId="33" fillId="0" borderId="40" xfId="0" applyFont="1" applyBorder="1" applyAlignment="1"/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/>
    <xf numFmtId="0" fontId="37" fillId="0" borderId="0" xfId="0" applyFont="1"/>
    <xf numFmtId="0" fontId="38" fillId="0" borderId="0" xfId="0" applyFont="1"/>
    <xf numFmtId="44" fontId="0" fillId="0" borderId="13" xfId="0" applyNumberFormat="1" applyBorder="1"/>
    <xf numFmtId="0" fontId="0" fillId="0" borderId="32" xfId="0" applyBorder="1"/>
    <xf numFmtId="10" fontId="0" fillId="0" borderId="33" xfId="1" applyNumberFormat="1" applyFont="1" applyBorder="1"/>
    <xf numFmtId="0" fontId="0" fillId="5" borderId="30" xfId="0" applyFill="1" applyBorder="1"/>
    <xf numFmtId="44" fontId="0" fillId="5" borderId="31" xfId="0" applyNumberFormat="1" applyFill="1" applyBorder="1"/>
    <xf numFmtId="0" fontId="9" fillId="2" borderId="36" xfId="0" applyFont="1" applyFill="1" applyBorder="1"/>
    <xf numFmtId="0" fontId="9" fillId="2" borderId="38" xfId="0" applyFont="1" applyFill="1" applyBorder="1" applyAlignment="1">
      <alignment horizontal="center"/>
    </xf>
    <xf numFmtId="0" fontId="36" fillId="2" borderId="36" xfId="0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174" fontId="0" fillId="0" borderId="11" xfId="0" applyNumberFormat="1" applyBorder="1"/>
    <xf numFmtId="44" fontId="0" fillId="5" borderId="16" xfId="1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41" xfId="0" applyFont="1" applyBorder="1"/>
    <xf numFmtId="0" fontId="1" fillId="0" borderId="4" xfId="0" applyFont="1" applyBorder="1"/>
    <xf numFmtId="0" fontId="1" fillId="0" borderId="40" xfId="0" applyFont="1" applyBorder="1"/>
    <xf numFmtId="0" fontId="1" fillId="0" borderId="0" xfId="0" applyFont="1" applyBorder="1"/>
    <xf numFmtId="0" fontId="33" fillId="0" borderId="40" xfId="0" applyFont="1" applyBorder="1"/>
    <xf numFmtId="0" fontId="33" fillId="0" borderId="0" xfId="0" applyFont="1" applyBorder="1"/>
    <xf numFmtId="0" fontId="1" fillId="0" borderId="4" xfId="0" applyFont="1" applyBorder="1" applyAlignment="1">
      <alignment horizontal="center"/>
    </xf>
    <xf numFmtId="0" fontId="20" fillId="0" borderId="41" xfId="0" applyFont="1" applyBorder="1"/>
    <xf numFmtId="0" fontId="20" fillId="0" borderId="4" xfId="0" applyFont="1" applyBorder="1"/>
    <xf numFmtId="0" fontId="20" fillId="0" borderId="40" xfId="0" applyFont="1" applyBorder="1"/>
    <xf numFmtId="0" fontId="20" fillId="0" borderId="0" xfId="0" applyFont="1" applyBorder="1"/>
    <xf numFmtId="0" fontId="1" fillId="0" borderId="4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0" xfId="0" applyFont="1" applyFill="1" applyBorder="1"/>
    <xf numFmtId="0" fontId="1" fillId="0" borderId="0" xfId="0" applyFont="1" applyFill="1" applyBorder="1"/>
    <xf numFmtId="0" fontId="33" fillId="0" borderId="42" xfId="0" applyFont="1" applyBorder="1"/>
    <xf numFmtId="0" fontId="33" fillId="0" borderId="1" xfId="0" applyFont="1" applyBorder="1"/>
    <xf numFmtId="0" fontId="1" fillId="0" borderId="40" xfId="0" applyFont="1" applyFill="1" applyBorder="1" applyAlignment="1"/>
    <xf numFmtId="0" fontId="1" fillId="0" borderId="0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1" fillId="0" borderId="30" xfId="0" applyFont="1" applyBorder="1"/>
    <xf numFmtId="0" fontId="41" fillId="0" borderId="12" xfId="0" applyFont="1" applyBorder="1"/>
    <xf numFmtId="0" fontId="40" fillId="2" borderId="0" xfId="0" applyFont="1" applyFill="1"/>
    <xf numFmtId="0" fontId="45" fillId="0" borderId="0" xfId="0" applyFont="1"/>
    <xf numFmtId="0" fontId="46" fillId="0" borderId="4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171" fontId="48" fillId="0" borderId="1" xfId="0" applyNumberFormat="1" applyFont="1" applyBorder="1" applyAlignment="1">
      <alignment horizontal="center"/>
    </xf>
    <xf numFmtId="171" fontId="48" fillId="0" borderId="8" xfId="0" applyNumberFormat="1" applyFont="1" applyBorder="1" applyAlignment="1">
      <alignment horizontal="center"/>
    </xf>
    <xf numFmtId="0" fontId="40" fillId="2" borderId="26" xfId="0" applyFont="1" applyFill="1" applyBorder="1" applyAlignment="1">
      <alignment horizontal="center"/>
    </xf>
    <xf numFmtId="0" fontId="40" fillId="2" borderId="27" xfId="0" applyFont="1" applyFill="1" applyBorder="1" applyAlignment="1">
      <alignment horizontal="center"/>
    </xf>
    <xf numFmtId="2" fontId="45" fillId="0" borderId="0" xfId="0" applyNumberFormat="1" applyFont="1"/>
    <xf numFmtId="2" fontId="45" fillId="0" borderId="5" xfId="0" applyNumberFormat="1" applyFont="1" applyBorder="1"/>
    <xf numFmtId="0" fontId="45" fillId="5" borderId="28" xfId="0" applyFont="1" applyFill="1" applyBorder="1" applyAlignment="1">
      <alignment horizontal="center"/>
    </xf>
    <xf numFmtId="0" fontId="45" fillId="5" borderId="29" xfId="0" applyFont="1" applyFill="1" applyBorder="1" applyAlignment="1">
      <alignment horizontal="center"/>
    </xf>
    <xf numFmtId="2" fontId="45" fillId="0" borderId="6" xfId="0" applyNumberFormat="1" applyFont="1" applyBorder="1"/>
    <xf numFmtId="0" fontId="45" fillId="0" borderId="30" xfId="0" applyFont="1" applyBorder="1"/>
    <xf numFmtId="172" fontId="45" fillId="0" borderId="31" xfId="0" applyNumberFormat="1" applyFont="1" applyBorder="1"/>
    <xf numFmtId="172" fontId="45" fillId="5" borderId="0" xfId="10" applyNumberFormat="1" applyFont="1" applyFill="1"/>
    <xf numFmtId="172" fontId="45" fillId="5" borderId="6" xfId="10" applyNumberFormat="1" applyFont="1" applyFill="1" applyBorder="1"/>
    <xf numFmtId="172" fontId="45" fillId="5" borderId="0" xfId="0" applyNumberFormat="1" applyFont="1" applyFill="1"/>
    <xf numFmtId="0" fontId="45" fillId="0" borderId="12" xfId="0" applyFont="1" applyBorder="1"/>
    <xf numFmtId="10" fontId="45" fillId="0" borderId="13" xfId="0" applyNumberFormat="1" applyFont="1" applyBorder="1"/>
    <xf numFmtId="0" fontId="45" fillId="0" borderId="12" xfId="0" applyFont="1" applyFill="1" applyBorder="1"/>
    <xf numFmtId="167" fontId="45" fillId="0" borderId="13" xfId="0" applyNumberFormat="1" applyFont="1" applyFill="1" applyBorder="1"/>
    <xf numFmtId="164" fontId="49" fillId="0" borderId="0" xfId="1" applyNumberFormat="1" applyFont="1"/>
    <xf numFmtId="164" fontId="49" fillId="0" borderId="6" xfId="1" applyNumberFormat="1" applyFont="1" applyBorder="1"/>
    <xf numFmtId="0" fontId="45" fillId="0" borderId="34" xfId="0" applyFont="1" applyBorder="1"/>
    <xf numFmtId="172" fontId="45" fillId="0" borderId="35" xfId="0" applyNumberFormat="1" applyFont="1" applyBorder="1"/>
    <xf numFmtId="44" fontId="45" fillId="0" borderId="35" xfId="10" applyFont="1" applyBorder="1"/>
    <xf numFmtId="172" fontId="49" fillId="0" borderId="0" xfId="10" applyNumberFormat="1" applyFont="1"/>
    <xf numFmtId="172" fontId="49" fillId="0" borderId="6" xfId="10" applyNumberFormat="1" applyFont="1" applyBorder="1"/>
    <xf numFmtId="0" fontId="45" fillId="5" borderId="34" xfId="0" applyFont="1" applyFill="1" applyBorder="1"/>
    <xf numFmtId="44" fontId="45" fillId="5" borderId="35" xfId="0" applyNumberFormat="1" applyFont="1" applyFill="1" applyBorder="1"/>
    <xf numFmtId="172" fontId="49" fillId="5" borderId="0" xfId="10" applyNumberFormat="1" applyFont="1" applyFill="1"/>
    <xf numFmtId="172" fontId="49" fillId="5" borderId="6" xfId="10" applyNumberFormat="1" applyFont="1" applyFill="1" applyBorder="1"/>
    <xf numFmtId="0" fontId="45" fillId="0" borderId="20" xfId="0" applyFont="1" applyBorder="1"/>
    <xf numFmtId="0" fontId="45" fillId="0" borderId="22" xfId="0" applyFont="1" applyBorder="1"/>
    <xf numFmtId="0" fontId="45" fillId="0" borderId="13" xfId="0" applyFont="1" applyBorder="1"/>
    <xf numFmtId="9" fontId="49" fillId="0" borderId="0" xfId="1" applyFont="1"/>
    <xf numFmtId="9" fontId="49" fillId="0" borderId="6" xfId="1" applyFont="1" applyBorder="1"/>
    <xf numFmtId="172" fontId="45" fillId="0" borderId="13" xfId="0" applyNumberFormat="1" applyFont="1" applyBorder="1"/>
    <xf numFmtId="44" fontId="45" fillId="0" borderId="13" xfId="0" applyNumberFormat="1" applyFont="1" applyBorder="1"/>
    <xf numFmtId="172" fontId="45" fillId="0" borderId="0" xfId="10" applyNumberFormat="1" applyFont="1" applyFill="1"/>
    <xf numFmtId="172" fontId="45" fillId="0" borderId="6" xfId="10" applyNumberFormat="1" applyFont="1" applyFill="1" applyBorder="1"/>
    <xf numFmtId="172" fontId="45" fillId="0" borderId="13" xfId="10" applyNumberFormat="1" applyFont="1" applyFill="1" applyBorder="1"/>
    <xf numFmtId="172" fontId="45" fillId="5" borderId="6" xfId="0" applyNumberFormat="1" applyFont="1" applyFill="1" applyBorder="1"/>
    <xf numFmtId="9" fontId="49" fillId="0" borderId="46" xfId="1" applyFont="1" applyBorder="1"/>
    <xf numFmtId="172" fontId="49" fillId="0" borderId="0" xfId="10" applyNumberFormat="1" applyFont="1" applyFill="1"/>
    <xf numFmtId="172" fontId="49" fillId="0" borderId="46" xfId="10" applyNumberFormat="1" applyFont="1" applyFill="1" applyBorder="1"/>
    <xf numFmtId="172" fontId="49" fillId="0" borderId="0" xfId="10" applyNumberFormat="1" applyFont="1" applyFill="1" applyBorder="1"/>
    <xf numFmtId="0" fontId="45" fillId="0" borderId="35" xfId="0" applyFont="1" applyBorder="1"/>
    <xf numFmtId="172" fontId="49" fillId="5" borderId="46" xfId="10" applyNumberFormat="1" applyFont="1" applyFill="1" applyBorder="1"/>
    <xf numFmtId="0" fontId="45" fillId="5" borderId="14" xfId="0" applyFont="1" applyFill="1" applyBorder="1"/>
    <xf numFmtId="44" fontId="45" fillId="5" borderId="16" xfId="0" applyNumberFormat="1" applyFont="1" applyFill="1" applyBorder="1"/>
    <xf numFmtId="0" fontId="45" fillId="5" borderId="32" xfId="0" applyFont="1" applyFill="1" applyBorder="1"/>
    <xf numFmtId="44" fontId="45" fillId="5" borderId="33" xfId="0" applyNumberFormat="1" applyFont="1" applyFill="1" applyBorder="1"/>
    <xf numFmtId="172" fontId="45" fillId="0" borderId="0" xfId="0" applyNumberFormat="1" applyFont="1"/>
    <xf numFmtId="172" fontId="45" fillId="0" borderId="46" xfId="0" applyNumberFormat="1" applyFont="1" applyBorder="1"/>
    <xf numFmtId="9" fontId="49" fillId="0" borderId="0" xfId="0" applyNumberFormat="1" applyFont="1" applyFill="1"/>
    <xf numFmtId="9" fontId="49" fillId="0" borderId="46" xfId="0" applyNumberFormat="1" applyFont="1" applyFill="1" applyBorder="1"/>
    <xf numFmtId="9" fontId="49" fillId="0" borderId="0" xfId="0" applyNumberFormat="1" applyFont="1" applyFill="1" applyBorder="1"/>
    <xf numFmtId="0" fontId="45" fillId="0" borderId="24" xfId="0" applyFont="1" applyBorder="1"/>
    <xf numFmtId="173" fontId="45" fillId="0" borderId="25" xfId="0" applyNumberFormat="1" applyFont="1" applyBorder="1"/>
    <xf numFmtId="10" fontId="45" fillId="0" borderId="25" xfId="1" applyNumberFormat="1" applyFont="1" applyBorder="1"/>
    <xf numFmtId="172" fontId="45" fillId="5" borderId="46" xfId="0" applyNumberFormat="1" applyFont="1" applyFill="1" applyBorder="1"/>
    <xf numFmtId="172" fontId="45" fillId="0" borderId="0" xfId="0" applyNumberFormat="1" applyFont="1" applyFill="1"/>
    <xf numFmtId="172" fontId="45" fillId="0" borderId="45" xfId="0" applyNumberFormat="1" applyFont="1" applyFill="1" applyBorder="1"/>
    <xf numFmtId="0" fontId="40" fillId="2" borderId="17" xfId="0" applyFont="1" applyFill="1" applyBorder="1" applyAlignment="1">
      <alignment horizontal="center"/>
    </xf>
    <xf numFmtId="0" fontId="40" fillId="2" borderId="19" xfId="0" applyFont="1" applyFill="1" applyBorder="1" applyAlignment="1">
      <alignment horizontal="center"/>
    </xf>
    <xf numFmtId="9" fontId="45" fillId="0" borderId="13" xfId="0" applyNumberFormat="1" applyFont="1" applyBorder="1"/>
    <xf numFmtId="172" fontId="45" fillId="0" borderId="6" xfId="0" applyNumberFormat="1" applyFont="1" applyBorder="1"/>
    <xf numFmtId="0" fontId="39" fillId="2" borderId="9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10" fontId="41" fillId="0" borderId="31" xfId="1" applyNumberFormat="1" applyFont="1" applyBorder="1"/>
    <xf numFmtId="0" fontId="41" fillId="0" borderId="13" xfId="0" applyFont="1" applyBorder="1"/>
    <xf numFmtId="10" fontId="41" fillId="0" borderId="13" xfId="0" applyNumberFormat="1" applyFont="1" applyBorder="1"/>
    <xf numFmtId="0" fontId="41" fillId="5" borderId="34" xfId="0" applyFont="1" applyFill="1" applyBorder="1"/>
    <xf numFmtId="10" fontId="41" fillId="5" borderId="35" xfId="0" applyNumberFormat="1" applyFont="1" applyFill="1" applyBorder="1"/>
    <xf numFmtId="10" fontId="41" fillId="0" borderId="31" xfId="0" applyNumberFormat="1" applyFont="1" applyBorder="1"/>
    <xf numFmtId="9" fontId="41" fillId="0" borderId="13" xfId="0" applyNumberFormat="1" applyFont="1" applyBorder="1"/>
    <xf numFmtId="3" fontId="42" fillId="0" borderId="31" xfId="0" applyNumberFormat="1" applyFont="1" applyBorder="1"/>
    <xf numFmtId="3" fontId="42" fillId="0" borderId="13" xfId="0" applyNumberFormat="1" applyFont="1" applyBorder="1"/>
    <xf numFmtId="9" fontId="41" fillId="0" borderId="13" xfId="1" applyFont="1" applyBorder="1"/>
    <xf numFmtId="0" fontId="41" fillId="5" borderId="32" xfId="0" applyFont="1" applyFill="1" applyBorder="1"/>
    <xf numFmtId="10" fontId="41" fillId="5" borderId="33" xfId="0" applyNumberFormat="1" applyFont="1" applyFill="1" applyBorder="1"/>
    <xf numFmtId="0" fontId="43" fillId="2" borderId="0" xfId="0" applyFont="1" applyFill="1" applyBorder="1"/>
    <xf numFmtId="0" fontId="44" fillId="0" borderId="0" xfId="0" applyFont="1" applyBorder="1"/>
    <xf numFmtId="0" fontId="45" fillId="0" borderId="0" xfId="0" applyFont="1" applyBorder="1"/>
    <xf numFmtId="166" fontId="47" fillId="0" borderId="0" xfId="0" applyNumberFormat="1" applyFont="1" applyBorder="1" applyAlignment="1">
      <alignment horizontal="right"/>
    </xf>
    <xf numFmtId="0" fontId="45" fillId="5" borderId="0" xfId="0" applyFont="1" applyFill="1" applyBorder="1"/>
    <xf numFmtId="0" fontId="49" fillId="0" borderId="0" xfId="0" applyFont="1" applyBorder="1"/>
    <xf numFmtId="0" fontId="49" fillId="5" borderId="0" xfId="0" applyFont="1" applyFill="1" applyBorder="1"/>
    <xf numFmtId="0" fontId="45" fillId="0" borderId="0" xfId="0" applyFont="1" applyFill="1" applyBorder="1"/>
    <xf numFmtId="0" fontId="49" fillId="0" borderId="0" xfId="0" applyFont="1" applyFill="1" applyBorder="1"/>
    <xf numFmtId="172" fontId="1" fillId="0" borderId="4" xfId="10" applyNumberFormat="1" applyFont="1" applyBorder="1"/>
    <xf numFmtId="172" fontId="1" fillId="0" borderId="5" xfId="10" applyNumberFormat="1" applyFont="1" applyBorder="1"/>
    <xf numFmtId="172" fontId="1" fillId="0" borderId="0" xfId="10" applyNumberFormat="1" applyFont="1" applyFill="1" applyBorder="1"/>
  </cellXfs>
  <cellStyles count="12">
    <cellStyle name="Comma" xfId="11" builtinId="3"/>
    <cellStyle name="Comma 2" xfId="8" xr:uid="{D519C6DF-1460-4AC4-845D-9436661995C2}"/>
    <cellStyle name="Currency" xfId="10" builtinId="4"/>
    <cellStyle name="Currency 2" xfId="9" xr:uid="{A94160D5-991B-4634-A4B6-39904F2FB558}"/>
    <cellStyle name="Invisible" xfId="3" xr:uid="{0790D448-232A-4448-BCAE-C4C9FCDA012B}"/>
    <cellStyle name="Invisible 2" xfId="6" xr:uid="{BAEDAD36-BA22-4305-93CD-9BBAF847EA17}"/>
    <cellStyle name="Normal" xfId="0" builtinId="0"/>
    <cellStyle name="Normal 2" xfId="2" xr:uid="{07A6A5C7-E5AC-41C5-893F-0CC5CC0080E9}"/>
    <cellStyle name="Normal 2 2" xfId="5" xr:uid="{AAECFC4F-AF81-4231-9048-ADBF80B5F682}"/>
    <cellStyle name="Normal 3" xfId="4" xr:uid="{EBFBEE82-3B1D-4BAF-9DE5-591C8C5E6649}"/>
    <cellStyle name="Percent" xfId="1" builtinId="5"/>
    <cellStyle name="Percent 2" xfId="7" xr:uid="{BE7EE95C-1139-43CF-AFA8-0B1CE1EC106D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0E30F9D-4117-4390-A85C-339B8A1C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14</xdr:col>
      <xdr:colOff>12700</xdr:colOff>
      <xdr:row>6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D2AE9A-3337-8F79-A262-B3E4A618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1219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12700</xdr:colOff>
      <xdr:row>7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09CE75-393A-F4C2-C78B-338CB1AD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142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26</xdr:row>
      <xdr:rowOff>0</xdr:rowOff>
    </xdr:from>
    <xdr:ext cx="12700" cy="12700"/>
    <xdr:pic>
      <xdr:nvPicPr>
        <xdr:cNvPr id="4" name="Picture 3">
          <a:extLst>
            <a:ext uri="{FF2B5EF4-FFF2-40B4-BE49-F238E27FC236}">
              <a16:creationId xmlns:a16="http://schemas.microsoft.com/office/drawing/2014/main" id="{C6336843-527F-4B2C-8C5B-74C31B2E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409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12700" cy="12700"/>
    <xdr:pic>
      <xdr:nvPicPr>
        <xdr:cNvPr id="5" name="Picture 4">
          <a:extLst>
            <a:ext uri="{FF2B5EF4-FFF2-40B4-BE49-F238E27FC236}">
              <a16:creationId xmlns:a16="http://schemas.microsoft.com/office/drawing/2014/main" id="{3A3263FC-A4EC-42D4-BAB4-1D959B1E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" y="1209675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DC6B-7C1F-4ABA-95FB-6D4E3C266251}">
  <sheetPr>
    <tabColor theme="8" tint="0.39997558519241921"/>
  </sheetPr>
  <dimension ref="C2:H10"/>
  <sheetViews>
    <sheetView showGridLines="0" workbookViewId="0">
      <selection activeCell="D9" sqref="D9"/>
    </sheetView>
  </sheetViews>
  <sheetFormatPr defaultColWidth="8.875" defaultRowHeight="15.75"/>
  <cols>
    <col min="3" max="3" width="25.125" bestFit="1" customWidth="1"/>
    <col min="4" max="4" width="12.125" bestFit="1" customWidth="1"/>
    <col min="7" max="7" width="26.875" bestFit="1" customWidth="1"/>
  </cols>
  <sheetData>
    <row r="2" spans="3:8" ht="16.5" thickBot="1"/>
    <row r="3" spans="3:8" ht="16.5" thickBot="1">
      <c r="C3" s="191" t="s">
        <v>274</v>
      </c>
      <c r="D3" s="192"/>
      <c r="E3" s="192"/>
      <c r="F3" s="192"/>
      <c r="G3" s="192"/>
      <c r="H3" s="193"/>
    </row>
    <row r="4" spans="3:8">
      <c r="C4" s="183" t="s">
        <v>275</v>
      </c>
    </row>
    <row r="5" spans="3:8" ht="16.5" thickBot="1"/>
    <row r="6" spans="3:8">
      <c r="C6" s="1" t="s">
        <v>276</v>
      </c>
      <c r="D6" s="194">
        <v>44894</v>
      </c>
      <c r="G6" s="196" t="s">
        <v>278</v>
      </c>
      <c r="H6" s="197"/>
    </row>
    <row r="7" spans="3:8" ht="16.5" thickBot="1">
      <c r="C7" s="130" t="s">
        <v>277</v>
      </c>
      <c r="D7" s="195">
        <v>153.33000000000001</v>
      </c>
      <c r="G7" s="3" t="s">
        <v>227</v>
      </c>
      <c r="H7" s="184">
        <f ca="1">DCF!U19</f>
        <v>254.42877290723754</v>
      </c>
    </row>
    <row r="8" spans="3:8" ht="16.5" thickBot="1">
      <c r="C8" s="182"/>
      <c r="G8" s="3" t="s">
        <v>279</v>
      </c>
      <c r="H8" s="184">
        <f ca="1">DCF!R19</f>
        <v>213.84817534436283</v>
      </c>
    </row>
    <row r="9" spans="3:8" ht="16.5" thickBot="1">
      <c r="C9" s="189" t="s">
        <v>157</v>
      </c>
      <c r="D9" s="190" t="s">
        <v>158</v>
      </c>
      <c r="E9" s="58">
        <f>IF(Title!D9="Bear", 1, IF(Title!D9="Base", 2, 3))</f>
        <v>2</v>
      </c>
      <c r="G9" s="187" t="s">
        <v>226</v>
      </c>
      <c r="H9" s="188">
        <f ca="1">DCF!R26</f>
        <v>221.96429485693778</v>
      </c>
    </row>
    <row r="10" spans="3:8" ht="16.5" thickBot="1">
      <c r="G10" s="185" t="s">
        <v>280</v>
      </c>
      <c r="H10" s="186">
        <f ca="1">(H9/D7)-1</f>
        <v>0.44762469742997313</v>
      </c>
    </row>
  </sheetData>
  <mergeCells count="1">
    <mergeCell ref="G6:H6"/>
  </mergeCells>
  <dataValidations count="1">
    <dataValidation type="list" allowBlank="1" showInputMessage="1" showErrorMessage="1" sqref="D9" xr:uid="{8FCECC12-0D4F-445C-A8BB-92C5B452153E}">
      <formula1>"Base, Bear, Bull"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B809-D8EF-4225-ADC1-9E1682949932}">
  <sheetPr>
    <tabColor rgb="FF00B0F0"/>
  </sheetPr>
  <dimension ref="A2:U61"/>
  <sheetViews>
    <sheetView showGridLines="0" tabSelected="1" workbookViewId="0">
      <selection activeCell="H13" sqref="H13"/>
    </sheetView>
  </sheetViews>
  <sheetFormatPr defaultColWidth="9" defaultRowHeight="15"/>
  <cols>
    <col min="1" max="1" width="11" style="52" customWidth="1"/>
    <col min="2" max="2" width="26.25" style="52" customWidth="1"/>
    <col min="3" max="5" width="8" style="52" bestFit="1" customWidth="1"/>
    <col min="6" max="15" width="8.5" style="52" bestFit="1" customWidth="1"/>
    <col min="16" max="16" width="9" style="52"/>
    <col min="17" max="17" width="20.875" style="52" customWidth="1"/>
    <col min="18" max="18" width="10.5" style="52" bestFit="1" customWidth="1"/>
    <col min="19" max="19" width="9" style="52"/>
    <col min="20" max="20" width="20.75" style="52" bestFit="1" customWidth="1"/>
    <col min="21" max="21" width="10.5" style="52" bestFit="1" customWidth="1"/>
    <col min="22" max="16384" width="9" style="52"/>
  </cols>
  <sheetData>
    <row r="2" spans="2:21">
      <c r="B2" s="317" t="s">
        <v>174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2:21">
      <c r="B3" s="318" t="s">
        <v>155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</row>
    <row r="4" spans="2:21" ht="15.75" thickBot="1">
      <c r="B4" s="319"/>
      <c r="C4" s="236" t="str">
        <f>"FY"&amp;YEAR(C5)</f>
        <v>FY2023</v>
      </c>
      <c r="D4" s="236" t="str">
        <f t="shared" ref="D4:H4" si="0">"FY"&amp;YEAR(D5)</f>
        <v>FY2024</v>
      </c>
      <c r="E4" s="236" t="str">
        <f t="shared" si="0"/>
        <v>FY2025</v>
      </c>
      <c r="F4" s="236" t="str">
        <f t="shared" si="0"/>
        <v>FY2026</v>
      </c>
      <c r="G4" s="236" t="str">
        <f t="shared" si="0"/>
        <v>FY2027</v>
      </c>
      <c r="H4" s="237" t="str">
        <f t="shared" si="0"/>
        <v>FY2028</v>
      </c>
      <c r="I4" s="236" t="str">
        <f t="shared" ref="I4" si="1">"FY"&amp;YEAR(I5)</f>
        <v>FY2029</v>
      </c>
      <c r="J4" s="236" t="str">
        <f t="shared" ref="J4" si="2">"FY"&amp;YEAR(J5)</f>
        <v>FY2030</v>
      </c>
      <c r="K4" s="236" t="str">
        <f t="shared" ref="K4" si="3">"FY"&amp;YEAR(K5)</f>
        <v>FY2031</v>
      </c>
      <c r="L4" s="236" t="str">
        <f t="shared" ref="L4" si="4">"FY"&amp;YEAR(L5)</f>
        <v>FY2032</v>
      </c>
      <c r="M4" s="236" t="str">
        <f t="shared" ref="M4" si="5">"FY"&amp;YEAR(M5)</f>
        <v>FY2033</v>
      </c>
      <c r="N4" s="236" t="str">
        <f t="shared" ref="N4" si="6">"FY"&amp;YEAR(N5)</f>
        <v>FY2034</v>
      </c>
      <c r="O4" s="236" t="str">
        <f t="shared" ref="O4" si="7">"FY"&amp;YEAR(O5)</f>
        <v>FY2035</v>
      </c>
      <c r="P4" s="235"/>
      <c r="Q4" s="235"/>
      <c r="R4" s="235"/>
      <c r="S4" s="235"/>
      <c r="T4" s="235"/>
      <c r="U4" s="235"/>
    </row>
    <row r="5" spans="2:21">
      <c r="B5" s="320"/>
      <c r="C5" s="238">
        <v>44957</v>
      </c>
      <c r="D5" s="238">
        <f>EOMONTH(C5, 12)</f>
        <v>45322</v>
      </c>
      <c r="E5" s="238">
        <f t="shared" ref="E5:H5" si="8">EOMONTH(D5, 12)</f>
        <v>45688</v>
      </c>
      <c r="F5" s="238">
        <f t="shared" si="8"/>
        <v>46053</v>
      </c>
      <c r="G5" s="239">
        <f t="shared" si="8"/>
        <v>46418</v>
      </c>
      <c r="H5" s="238">
        <f t="shared" si="8"/>
        <v>46783</v>
      </c>
      <c r="I5" s="238">
        <f t="shared" ref="I5:M5" si="9">EOMONTH(H5, 12)</f>
        <v>47149</v>
      </c>
      <c r="J5" s="238">
        <f t="shared" si="9"/>
        <v>47514</v>
      </c>
      <c r="K5" s="238">
        <f t="shared" si="9"/>
        <v>47879</v>
      </c>
      <c r="L5" s="238">
        <f t="shared" si="9"/>
        <v>48244</v>
      </c>
      <c r="M5" s="238">
        <f t="shared" si="9"/>
        <v>48610</v>
      </c>
      <c r="N5" s="238">
        <f t="shared" ref="N5:O5" si="10">EOMONTH(M5, 12)</f>
        <v>48975</v>
      </c>
      <c r="O5" s="238">
        <f t="shared" si="10"/>
        <v>49340</v>
      </c>
      <c r="P5" s="235"/>
      <c r="Q5" s="240" t="s">
        <v>208</v>
      </c>
      <c r="R5" s="241"/>
      <c r="S5" s="235"/>
      <c r="T5" s="240" t="s">
        <v>208</v>
      </c>
      <c r="U5" s="241"/>
    </row>
    <row r="6" spans="2:21">
      <c r="B6" s="319" t="s">
        <v>175</v>
      </c>
      <c r="C6" s="242">
        <f ca="1">YEARFRAC(TODAY(), C5)</f>
        <v>0.17222222222222222</v>
      </c>
      <c r="D6" s="242">
        <v>1</v>
      </c>
      <c r="E6" s="242">
        <v>1</v>
      </c>
      <c r="F6" s="242">
        <v>1</v>
      </c>
      <c r="G6" s="243">
        <v>1</v>
      </c>
      <c r="H6" s="242">
        <v>1</v>
      </c>
      <c r="I6" s="242">
        <v>1</v>
      </c>
      <c r="J6" s="242">
        <v>1</v>
      </c>
      <c r="K6" s="242">
        <v>1</v>
      </c>
      <c r="L6" s="242">
        <v>1</v>
      </c>
      <c r="M6" s="242">
        <v>1</v>
      </c>
      <c r="N6" s="242">
        <v>1</v>
      </c>
      <c r="O6" s="242">
        <v>1</v>
      </c>
      <c r="P6" s="235"/>
      <c r="Q6" s="244" t="s">
        <v>209</v>
      </c>
      <c r="R6" s="245"/>
      <c r="S6" s="235"/>
      <c r="T6" s="244" t="s">
        <v>227</v>
      </c>
      <c r="U6" s="245"/>
    </row>
    <row r="7" spans="2:21">
      <c r="B7" s="319" t="s">
        <v>176</v>
      </c>
      <c r="C7" s="242">
        <f ca="1">C6/2</f>
        <v>8.611111111111111E-2</v>
      </c>
      <c r="D7" s="242">
        <f ca="1">SUM($C$6:D6)-0.5</f>
        <v>0.67222222222222228</v>
      </c>
      <c r="E7" s="242">
        <f ca="1">SUM($C$6:E6)-0.5</f>
        <v>1.6722222222222225</v>
      </c>
      <c r="F7" s="242">
        <f ca="1">SUM($C$6:F6)-0.5</f>
        <v>2.6722222222222225</v>
      </c>
      <c r="G7" s="246">
        <f ca="1">SUM($C$6:G6)-0.5</f>
        <v>3.6722222222222225</v>
      </c>
      <c r="H7" s="242">
        <f ca="1">SUM($C$6:H6)-0.5</f>
        <v>4.6722222222222225</v>
      </c>
      <c r="I7" s="242">
        <f ca="1">SUM($C$6:I6)-0.5</f>
        <v>5.6722222222222225</v>
      </c>
      <c r="J7" s="242">
        <f ca="1">SUM($C$6:J6)-0.5</f>
        <v>6.6722222222222225</v>
      </c>
      <c r="K7" s="242">
        <f ca="1">SUM($C$6:K6)-0.5</f>
        <v>7.6722222222222225</v>
      </c>
      <c r="L7" s="242">
        <f ca="1">SUM($C$6:L6)-0.5</f>
        <v>8.6722222222222225</v>
      </c>
      <c r="M7" s="242">
        <f ca="1">SUM($C$6:M6)-0.5</f>
        <v>9.6722222222222225</v>
      </c>
      <c r="N7" s="242">
        <f ca="1">SUM($C$6:N6)-0.5</f>
        <v>10.672222222222222</v>
      </c>
      <c r="O7" s="242">
        <f ca="1">SUM($C$6:O6)-0.5</f>
        <v>11.672222222222222</v>
      </c>
      <c r="P7" s="235"/>
      <c r="Q7" s="247" t="s">
        <v>210</v>
      </c>
      <c r="R7" s="248">
        <f>O27</f>
        <v>23461.528729746315</v>
      </c>
      <c r="S7" s="235"/>
      <c r="T7" s="247" t="s">
        <v>222</v>
      </c>
      <c r="U7" s="248">
        <f>O8</f>
        <v>97687.404584539981</v>
      </c>
    </row>
    <row r="8" spans="2:21">
      <c r="B8" s="321" t="s">
        <v>177</v>
      </c>
      <c r="C8" s="249">
        <f>'Revenue Build'!H104</f>
        <v>30674.160717484014</v>
      </c>
      <c r="D8" s="249">
        <f>'Revenue Build'!I104</f>
        <v>35530.703656668928</v>
      </c>
      <c r="E8" s="249">
        <f>'Revenue Build'!J104</f>
        <v>41175.435231901756</v>
      </c>
      <c r="F8" s="249">
        <f>'Revenue Build'!K104</f>
        <v>47738.667038304324</v>
      </c>
      <c r="G8" s="250">
        <f>'Revenue Build'!L104</f>
        <v>55372.557203467113</v>
      </c>
      <c r="H8" s="251">
        <f>G8*(1+H9)</f>
        <v>62677.623264506059</v>
      </c>
      <c r="I8" s="251">
        <f t="shared" ref="I8:O8" si="11">H8*(1+I9)</f>
        <v>69499.376969528268</v>
      </c>
      <c r="J8" s="251">
        <f t="shared" si="11"/>
        <v>75739.86243000449</v>
      </c>
      <c r="K8" s="251">
        <f t="shared" si="11"/>
        <v>81350.547920697747</v>
      </c>
      <c r="L8" s="251">
        <f t="shared" si="11"/>
        <v>86322.258556201574</v>
      </c>
      <c r="M8" s="251">
        <f t="shared" si="11"/>
        <v>90674.591442446268</v>
      </c>
      <c r="N8" s="251">
        <f t="shared" si="11"/>
        <v>94446.30641640602</v>
      </c>
      <c r="O8" s="251">
        <f t="shared" si="11"/>
        <v>97687.404584539981</v>
      </c>
      <c r="P8" s="235"/>
      <c r="Q8" s="252" t="s">
        <v>211</v>
      </c>
      <c r="R8" s="253">
        <f>Drivers!C49</f>
        <v>0.03</v>
      </c>
      <c r="S8" s="235"/>
      <c r="T8" s="254" t="s">
        <v>221</v>
      </c>
      <c r="U8" s="255">
        <f>Drivers!C54</f>
        <v>5</v>
      </c>
    </row>
    <row r="9" spans="2:21">
      <c r="B9" s="322" t="s">
        <v>161</v>
      </c>
      <c r="C9" s="256">
        <f>(DCF!C8/'Income Statement'!G21)-1</f>
        <v>0.15786504293688708</v>
      </c>
      <c r="D9" s="256">
        <f>(D8/C8)-1</f>
        <v>0.15832684010215559</v>
      </c>
      <c r="E9" s="256">
        <f t="shared" ref="E9:G9" si="12">(E8/D8)-1</f>
        <v>0.15886911865797915</v>
      </c>
      <c r="F9" s="256">
        <f t="shared" si="12"/>
        <v>0.15939678037252492</v>
      </c>
      <c r="G9" s="257">
        <f t="shared" si="12"/>
        <v>0.159909998304677</v>
      </c>
      <c r="H9" s="256">
        <f>G9*0.825</f>
        <v>0.13192574860135853</v>
      </c>
      <c r="I9" s="256">
        <f t="shared" ref="I9:N9" si="13">H9*0.825</f>
        <v>0.10883874259612078</v>
      </c>
      <c r="J9" s="256">
        <f t="shared" si="13"/>
        <v>8.9791962641799644E-2</v>
      </c>
      <c r="K9" s="256">
        <f t="shared" si="13"/>
        <v>7.4078369179484696E-2</v>
      </c>
      <c r="L9" s="256">
        <f t="shared" si="13"/>
        <v>6.111465457307487E-2</v>
      </c>
      <c r="M9" s="256">
        <f t="shared" si="13"/>
        <v>5.0419590022786766E-2</v>
      </c>
      <c r="N9" s="256">
        <f t="shared" si="13"/>
        <v>4.159616176879908E-2</v>
      </c>
      <c r="O9" s="256">
        <f>N9*0.825</f>
        <v>3.431683345925924E-2</v>
      </c>
      <c r="P9" s="235"/>
      <c r="Q9" s="258" t="s">
        <v>208</v>
      </c>
      <c r="R9" s="259">
        <f ca="1">R7/(C48-R8)</f>
        <v>369288.91822622047</v>
      </c>
      <c r="S9" s="235"/>
      <c r="T9" s="258" t="s">
        <v>208</v>
      </c>
      <c r="U9" s="260">
        <f>U7*U8</f>
        <v>488437.02292269992</v>
      </c>
    </row>
    <row r="10" spans="2:21">
      <c r="B10" s="322" t="s">
        <v>178</v>
      </c>
      <c r="C10" s="261">
        <f>-Drivers!I43*DCF!C8</f>
        <v>-7037.1028429140797</v>
      </c>
      <c r="D10" s="261">
        <f>-Drivers!J43*DCF!D8</f>
        <v>-7941.8034361099872</v>
      </c>
      <c r="E10" s="261">
        <f>-Drivers!K43*DCF!E8</f>
        <v>-8931.9345529834027</v>
      </c>
      <c r="F10" s="261">
        <f>-Drivers!L43*DCF!F8</f>
        <v>-10014.313057404566</v>
      </c>
      <c r="G10" s="262">
        <f>-Drivers!$M$43*DCF!G8</f>
        <v>-11265.782653307424</v>
      </c>
      <c r="H10" s="261">
        <f>(-Drivers!$M$43-0.0001)*DCF!H8</f>
        <v>-12758.297225751656</v>
      </c>
      <c r="I10" s="261">
        <f>-((-H10/H8)-0.001)*I8</f>
        <v>-14077.394876500513</v>
      </c>
      <c r="J10" s="261">
        <f t="shared" ref="J10:O10" si="14">-((-I10/I8)-0.001)*J8</f>
        <v>-15265.691928915103</v>
      </c>
      <c r="K10" s="261">
        <f t="shared" si="14"/>
        <v>-16315.198943484858</v>
      </c>
      <c r="L10" s="261">
        <f t="shared" si="14"/>
        <v>-17225.974432650732</v>
      </c>
      <c r="M10" s="261">
        <f t="shared" si="14"/>
        <v>-18003.826409845544</v>
      </c>
      <c r="N10" s="261">
        <f t="shared" si="14"/>
        <v>-18658.270179230451</v>
      </c>
      <c r="O10" s="261">
        <f t="shared" si="14"/>
        <v>-19200.875525024421</v>
      </c>
      <c r="P10" s="235"/>
      <c r="Q10" s="263" t="s">
        <v>212</v>
      </c>
      <c r="R10" s="264">
        <f ca="1">R9/(1+C48)^O7</f>
        <v>130052.32289334397</v>
      </c>
      <c r="S10" s="235"/>
      <c r="T10" s="263" t="s">
        <v>223</v>
      </c>
      <c r="U10" s="264">
        <f ca="1">U9/(1+C48)^O7</f>
        <v>172012.66077335642</v>
      </c>
    </row>
    <row r="11" spans="2:21">
      <c r="B11" s="323" t="s">
        <v>237</v>
      </c>
      <c r="C11" s="265">
        <f>C8+C10</f>
        <v>23637.057874569935</v>
      </c>
      <c r="D11" s="265">
        <f t="shared" ref="D11:O11" si="15">D8+D10</f>
        <v>27588.900220558942</v>
      </c>
      <c r="E11" s="265">
        <f t="shared" si="15"/>
        <v>32243.500678918354</v>
      </c>
      <c r="F11" s="265">
        <f t="shared" si="15"/>
        <v>37724.353980899759</v>
      </c>
      <c r="G11" s="266">
        <f t="shared" si="15"/>
        <v>44106.774550159687</v>
      </c>
      <c r="H11" s="265">
        <f t="shared" si="15"/>
        <v>49919.3260387544</v>
      </c>
      <c r="I11" s="265">
        <f t="shared" si="15"/>
        <v>55421.982093027756</v>
      </c>
      <c r="J11" s="265">
        <f t="shared" si="15"/>
        <v>60474.170501089386</v>
      </c>
      <c r="K11" s="265">
        <f t="shared" si="15"/>
        <v>65035.348977212889</v>
      </c>
      <c r="L11" s="265">
        <f t="shared" si="15"/>
        <v>69096.284123550839</v>
      </c>
      <c r="M11" s="265">
        <f t="shared" si="15"/>
        <v>72670.765032600728</v>
      </c>
      <c r="N11" s="265">
        <f t="shared" si="15"/>
        <v>75788.036237175576</v>
      </c>
      <c r="O11" s="265">
        <f t="shared" si="15"/>
        <v>78486.529059515567</v>
      </c>
      <c r="P11" s="235"/>
      <c r="Q11" s="267"/>
      <c r="R11" s="268"/>
      <c r="S11" s="235"/>
      <c r="T11" s="252"/>
      <c r="U11" s="269"/>
    </row>
    <row r="12" spans="2:21">
      <c r="B12" s="322" t="s">
        <v>238</v>
      </c>
      <c r="C12" s="270">
        <f>C11/C8</f>
        <v>0.77058531746875181</v>
      </c>
      <c r="D12" s="270">
        <f t="shared" ref="D12:O12" si="16">D11/D8</f>
        <v>0.77648054727958227</v>
      </c>
      <c r="E12" s="270">
        <f t="shared" si="16"/>
        <v>0.78307613501403506</v>
      </c>
      <c r="F12" s="270">
        <f t="shared" si="16"/>
        <v>0.79022637876819379</v>
      </c>
      <c r="G12" s="271">
        <f t="shared" si="16"/>
        <v>0.79654573994278111</v>
      </c>
      <c r="H12" s="270">
        <f>H11/H8</f>
        <v>0.79644573994278112</v>
      </c>
      <c r="I12" s="270">
        <f t="shared" si="16"/>
        <v>0.79744573994278123</v>
      </c>
      <c r="J12" s="270">
        <f t="shared" si="16"/>
        <v>0.79844573994278112</v>
      </c>
      <c r="K12" s="270">
        <f t="shared" si="16"/>
        <v>0.79944573994278112</v>
      </c>
      <c r="L12" s="270">
        <f t="shared" si="16"/>
        <v>0.80044573994278112</v>
      </c>
      <c r="M12" s="270">
        <f t="shared" si="16"/>
        <v>0.80144573994278123</v>
      </c>
      <c r="N12" s="270">
        <f t="shared" si="16"/>
        <v>0.80244573994278123</v>
      </c>
      <c r="O12" s="270">
        <f t="shared" si="16"/>
        <v>0.80344573994278123</v>
      </c>
      <c r="P12" s="235"/>
      <c r="Q12" s="252" t="s">
        <v>214</v>
      </c>
      <c r="R12" s="272">
        <f ca="1">SUM(C29:O29)</f>
        <v>91035.690412727199</v>
      </c>
      <c r="S12" s="235"/>
      <c r="T12" s="247" t="s">
        <v>214</v>
      </c>
      <c r="U12" s="248">
        <f ca="1">SUM(C29:O29)</f>
        <v>91035.690412727199</v>
      </c>
    </row>
    <row r="13" spans="2:21">
      <c r="B13" s="322" t="s">
        <v>200</v>
      </c>
      <c r="C13" s="261">
        <f>-Drivers!I16*DCF!C8</f>
        <v>-5047.1707738432642</v>
      </c>
      <c r="D13" s="261">
        <f>-Drivers!J16*DCF!D8</f>
        <v>-5704.1505592951444</v>
      </c>
      <c r="E13" s="261">
        <f>-Drivers!K16*DCF!E8</f>
        <v>-6445.6621904151752</v>
      </c>
      <c r="F13" s="261">
        <f>-Drivers!L16*DCF!F8</f>
        <v>-7282.125322783053</v>
      </c>
      <c r="G13" s="262">
        <f>-Drivers!$M$16*DCF!G8</f>
        <v>-8225.119741989869</v>
      </c>
      <c r="H13" s="261">
        <f>-Drivers!$M$16*DCF!H8</f>
        <v>-9310.2248212876948</v>
      </c>
      <c r="I13" s="261">
        <f>-Drivers!$M$16*DCF!I8</f>
        <v>-10323.537984123841</v>
      </c>
      <c r="J13" s="261">
        <f>-Drivers!$M$16*DCF!J8</f>
        <v>-11250.508721125487</v>
      </c>
      <c r="K13" s="261">
        <f>-Drivers!$M$16*DCF!K8</f>
        <v>-12083.928059626034</v>
      </c>
      <c r="L13" s="261">
        <f>-Drivers!$M$16*DCF!L8</f>
        <v>-12822.433148875967</v>
      </c>
      <c r="M13" s="261">
        <f>-Drivers!$M$16*DCF!M8</f>
        <v>-13468.934971336887</v>
      </c>
      <c r="N13" s="261">
        <f>-Drivers!$M$16*DCF!N8</f>
        <v>-14029.190969258048</v>
      </c>
      <c r="O13" s="261">
        <f>-Drivers!$M$16*DCF!O8</f>
        <v>-14510.628379318219</v>
      </c>
      <c r="P13" s="235"/>
      <c r="Q13" s="252" t="s">
        <v>212</v>
      </c>
      <c r="R13" s="273">
        <f ca="1">R10</f>
        <v>130052.32289334397</v>
      </c>
      <c r="S13" s="235"/>
      <c r="T13" s="252" t="s">
        <v>212</v>
      </c>
      <c r="U13" s="273">
        <f ca="1">U10</f>
        <v>172012.66077335642</v>
      </c>
    </row>
    <row r="14" spans="2:21">
      <c r="B14" s="324" t="s">
        <v>201</v>
      </c>
      <c r="C14" s="274">
        <f>-Drivers!I11*DCF!C8</f>
        <v>-13419.748476841956</v>
      </c>
      <c r="D14" s="274">
        <f>-Drivers!J11*DCF!D8</f>
        <v>-15189.147811579371</v>
      </c>
      <c r="E14" s="274">
        <f>-Drivers!K11*DCF!E8</f>
        <v>-17190.479985251739</v>
      </c>
      <c r="F14" s="274">
        <f>-Drivers!L11*DCF!F8</f>
        <v>-19453.200477576152</v>
      </c>
      <c r="G14" s="275">
        <f>-Drivers!$M$11*DCF!G8</f>
        <v>-22010.236160931228</v>
      </c>
      <c r="H14" s="274">
        <f>-(Drivers!$M$11-0.01)*DCF!H8</f>
        <v>-24287.176810709709</v>
      </c>
      <c r="I14" s="274">
        <f>-((-H14/H8)-0.01)*I8</f>
        <v>-26235.568826301733</v>
      </c>
      <c r="J14" s="274">
        <f t="shared" ref="J14:O14" si="17">-((-I14/I8)-0.01)*J8</f>
        <v>-27833.913417939333</v>
      </c>
      <c r="K14" s="274">
        <f t="shared" si="17"/>
        <v>-29082.298852616277</v>
      </c>
      <c r="L14" s="274">
        <f t="shared" si="17"/>
        <v>-29996.430915622841</v>
      </c>
      <c r="M14" s="274">
        <f t="shared" si="17"/>
        <v>-30602.092750110933</v>
      </c>
      <c r="N14" s="274">
        <f t="shared" si="17"/>
        <v>-30930.559286444277</v>
      </c>
      <c r="O14" s="274">
        <f t="shared" si="17"/>
        <v>-31015.124092433525</v>
      </c>
      <c r="P14" s="235"/>
      <c r="Q14" s="252" t="s">
        <v>215</v>
      </c>
      <c r="R14" s="272">
        <f ca="1">SUM(R12:R13)</f>
        <v>221088.01330607117</v>
      </c>
      <c r="S14" s="235"/>
      <c r="T14" s="252" t="s">
        <v>215</v>
      </c>
      <c r="U14" s="272">
        <f ca="1">SUM(U12:U13)</f>
        <v>263048.35118608363</v>
      </c>
    </row>
    <row r="15" spans="2:21">
      <c r="B15" s="324" t="s">
        <v>202</v>
      </c>
      <c r="C15" s="274">
        <f>Drivers!I21*-DCF!C8</f>
        <v>-2962.1221404738071</v>
      </c>
      <c r="D15" s="274">
        <f>Drivers!J21*-DCF!D8</f>
        <v>-3377.8095234866546</v>
      </c>
      <c r="E15" s="274">
        <f>Drivers!K21*-DCF!E8</f>
        <v>-3852.6759926296554</v>
      </c>
      <c r="F15" s="274">
        <f>Drivers!L21*-DCF!F8</f>
        <v>-4395.1721411158869</v>
      </c>
      <c r="G15" s="275">
        <f>Drivers!$M$21*-DCF!G8</f>
        <v>-5014.9452749452921</v>
      </c>
      <c r="H15" s="274">
        <f>-(Drivers!$M$21-0.002)*H8</f>
        <v>-5551.1904380082833</v>
      </c>
      <c r="I15" s="274">
        <f>-((-H15/H8)-0.002)*I8</f>
        <v>-6016.3762712536573</v>
      </c>
      <c r="J15" s="274">
        <f t="shared" ref="J15:O15" si="18">-((-I15/I8)-0.002)*J8</f>
        <v>-6405.1187797810653</v>
      </c>
      <c r="K15" s="274">
        <f t="shared" si="18"/>
        <v>-6716.8984375467426</v>
      </c>
      <c r="L15" s="274">
        <f t="shared" si="18"/>
        <v>-6954.7548482474349</v>
      </c>
      <c r="M15" s="274">
        <f t="shared" si="18"/>
        <v>-7124.0615535201678</v>
      </c>
      <c r="N15" s="274">
        <f t="shared" si="18"/>
        <v>-7231.5025575184618</v>
      </c>
      <c r="O15" s="274">
        <f t="shared" si="18"/>
        <v>-7284.2900172759491</v>
      </c>
      <c r="P15" s="235"/>
      <c r="Q15" s="254" t="s">
        <v>216</v>
      </c>
      <c r="R15" s="276">
        <f>SUM('Balance Sheet'!G53:G55)</f>
        <v>15290</v>
      </c>
      <c r="S15" s="235"/>
      <c r="T15" s="254" t="s">
        <v>216</v>
      </c>
      <c r="U15" s="276">
        <f>R15</f>
        <v>15290</v>
      </c>
    </row>
    <row r="16" spans="2:21">
      <c r="B16" s="321" t="s">
        <v>180</v>
      </c>
      <c r="C16" s="251">
        <f>SUM(C11,C13:C15)</f>
        <v>2208.0164834109082</v>
      </c>
      <c r="D16" s="251">
        <f t="shared" ref="D16:O16" si="19">SUM(D11,D13:D15)</f>
        <v>3317.7923261977735</v>
      </c>
      <c r="E16" s="251">
        <f t="shared" si="19"/>
        <v>4754.682510621783</v>
      </c>
      <c r="F16" s="251">
        <f t="shared" si="19"/>
        <v>6593.856039424667</v>
      </c>
      <c r="G16" s="277">
        <f t="shared" si="19"/>
        <v>8856.4733722932997</v>
      </c>
      <c r="H16" s="251">
        <f t="shared" si="19"/>
        <v>10770.733968748713</v>
      </c>
      <c r="I16" s="251">
        <f t="shared" si="19"/>
        <v>12846.499011348527</v>
      </c>
      <c r="J16" s="251">
        <f t="shared" si="19"/>
        <v>14984.6295822435</v>
      </c>
      <c r="K16" s="251">
        <f t="shared" si="19"/>
        <v>17152.223627423831</v>
      </c>
      <c r="L16" s="251">
        <f t="shared" si="19"/>
        <v>19322.6652108046</v>
      </c>
      <c r="M16" s="251">
        <f t="shared" si="19"/>
        <v>21475.67575763274</v>
      </c>
      <c r="N16" s="251">
        <f t="shared" si="19"/>
        <v>23596.783423954785</v>
      </c>
      <c r="O16" s="251">
        <f t="shared" si="19"/>
        <v>25676.486570487868</v>
      </c>
      <c r="P16" s="235"/>
      <c r="Q16" s="254" t="s">
        <v>217</v>
      </c>
      <c r="R16" s="276">
        <f>SUM('Balance Sheet'!G19,'Balance Sheet'!G20,'Balance Sheet'!G30)</f>
        <v>15321</v>
      </c>
      <c r="S16" s="235"/>
      <c r="T16" s="254" t="s">
        <v>217</v>
      </c>
      <c r="U16" s="276">
        <f>R16</f>
        <v>15321</v>
      </c>
    </row>
    <row r="17" spans="2:21">
      <c r="B17" s="319" t="s">
        <v>181</v>
      </c>
      <c r="C17" s="270">
        <f>C16/C8</f>
        <v>7.1982946941800352E-2</v>
      </c>
      <c r="D17" s="270">
        <f>D16/D8</f>
        <v>9.3378176752630715E-2</v>
      </c>
      <c r="E17" s="270">
        <f>E16/E8</f>
        <v>0.11547376448708348</v>
      </c>
      <c r="F17" s="270">
        <f>F16/F8</f>
        <v>0.13812400824124227</v>
      </c>
      <c r="G17" s="278">
        <f>G16/G8</f>
        <v>0.15994336941582965</v>
      </c>
      <c r="H17" s="270">
        <f t="shared" ref="H17:O17" si="20">H16/H8</f>
        <v>0.17184336941582964</v>
      </c>
      <c r="I17" s="270">
        <f t="shared" si="20"/>
        <v>0.18484336941582979</v>
      </c>
      <c r="J17" s="270">
        <f t="shared" si="20"/>
        <v>0.19784336941582972</v>
      </c>
      <c r="K17" s="270">
        <f t="shared" si="20"/>
        <v>0.21084336941582971</v>
      </c>
      <c r="L17" s="270">
        <f t="shared" si="20"/>
        <v>0.22384336941582975</v>
      </c>
      <c r="M17" s="270">
        <f t="shared" si="20"/>
        <v>0.23684336941582979</v>
      </c>
      <c r="N17" s="270">
        <f t="shared" si="20"/>
        <v>0.2498433694158298</v>
      </c>
      <c r="O17" s="270">
        <f t="shared" si="20"/>
        <v>0.26284336941582981</v>
      </c>
      <c r="P17" s="235"/>
      <c r="Q17" s="252" t="s">
        <v>218</v>
      </c>
      <c r="R17" s="272">
        <f ca="1">R14-R15+R16</f>
        <v>221119.01330607117</v>
      </c>
      <c r="S17" s="235"/>
      <c r="T17" s="252" t="s">
        <v>218</v>
      </c>
      <c r="U17" s="272">
        <f ca="1">U14-U15+U16</f>
        <v>263079.35118608363</v>
      </c>
    </row>
    <row r="18" spans="2:21">
      <c r="B18" s="319" t="s">
        <v>205</v>
      </c>
      <c r="C18" s="279">
        <f>C8*Drivers!I26</f>
        <v>1993.8204466364609</v>
      </c>
      <c r="D18" s="279">
        <f>D8*Drivers!J26</f>
        <v>2025.2501084301289</v>
      </c>
      <c r="E18" s="279">
        <f>E8*Drivers!K26</f>
        <v>2346.9998082184002</v>
      </c>
      <c r="F18" s="279">
        <f>F8*Drivers!L26</f>
        <v>2721.1040211833465</v>
      </c>
      <c r="G18" s="280">
        <f>G8*Drivers!$M$26</f>
        <v>3156.2357605976254</v>
      </c>
      <c r="H18" s="281">
        <f>H8*Drivers!$M$26</f>
        <v>3572.6245260768455</v>
      </c>
      <c r="I18" s="279">
        <f>I8*Drivers!$M$26</f>
        <v>3961.4644872631116</v>
      </c>
      <c r="J18" s="279">
        <f>J8*Drivers!$M$26</f>
        <v>4317.1721585102559</v>
      </c>
      <c r="K18" s="279">
        <f>K8*Drivers!$M$26</f>
        <v>4636.9812314797718</v>
      </c>
      <c r="L18" s="279">
        <f>L8*Drivers!$M$26</f>
        <v>4920.3687377034903</v>
      </c>
      <c r="M18" s="279">
        <f>M8*Drivers!$M$26</f>
        <v>5168.4517122194375</v>
      </c>
      <c r="N18" s="279">
        <f>N8*Drivers!$M$26</f>
        <v>5383.4394657351431</v>
      </c>
      <c r="O18" s="279">
        <f>O8*Drivers!$M$26</f>
        <v>5568.1820613187792</v>
      </c>
      <c r="P18" s="235"/>
      <c r="Q18" s="258" t="s">
        <v>219</v>
      </c>
      <c r="R18" s="282">
        <v>1034</v>
      </c>
      <c r="S18" s="235"/>
      <c r="T18" s="252" t="s">
        <v>219</v>
      </c>
      <c r="U18" s="269">
        <v>1034</v>
      </c>
    </row>
    <row r="19" spans="2:21" ht="15.75" thickBot="1">
      <c r="B19" s="321" t="s">
        <v>204</v>
      </c>
      <c r="C19" s="265">
        <f>SUM(C16,C18)</f>
        <v>4201.8369300473696</v>
      </c>
      <c r="D19" s="265">
        <f>SUM(D16,D18)</f>
        <v>5343.0424346279024</v>
      </c>
      <c r="E19" s="265">
        <f t="shared" ref="E19:G19" si="21">SUM(E16,E18)</f>
        <v>7101.6823188401831</v>
      </c>
      <c r="F19" s="265">
        <f t="shared" si="21"/>
        <v>9314.960060608013</v>
      </c>
      <c r="G19" s="283">
        <f t="shared" si="21"/>
        <v>12012.709132890925</v>
      </c>
      <c r="H19" s="265">
        <f t="shared" ref="H19" si="22">SUM(H16,H18)</f>
        <v>14343.358494825559</v>
      </c>
      <c r="I19" s="265">
        <f t="shared" ref="I19" si="23">SUM(I16,I18)</f>
        <v>16807.96349861164</v>
      </c>
      <c r="J19" s="265">
        <f t="shared" ref="J19" si="24">SUM(J16,J18)</f>
        <v>19301.801740753755</v>
      </c>
      <c r="K19" s="265">
        <f t="shared" ref="K19" si="25">SUM(K16,K18)</f>
        <v>21789.204858903602</v>
      </c>
      <c r="L19" s="265">
        <f t="shared" ref="L19" si="26">SUM(L16,L18)</f>
        <v>24243.033948508091</v>
      </c>
      <c r="M19" s="265">
        <f t="shared" ref="M19" si="27">SUM(M16,M18)</f>
        <v>26644.127469852177</v>
      </c>
      <c r="N19" s="265">
        <f t="shared" ref="N19" si="28">SUM(N16,N18)</f>
        <v>28980.222889689929</v>
      </c>
      <c r="O19" s="265">
        <f t="shared" ref="O19" si="29">SUM(O16,O18)</f>
        <v>31244.66863180665</v>
      </c>
      <c r="P19" s="235"/>
      <c r="Q19" s="284" t="s">
        <v>220</v>
      </c>
      <c r="R19" s="285">
        <f ca="1">R17/R18</f>
        <v>213.84817534436283</v>
      </c>
      <c r="S19" s="235"/>
      <c r="T19" s="286" t="s">
        <v>220</v>
      </c>
      <c r="U19" s="287">
        <f ca="1">U17/U18</f>
        <v>254.42877290723754</v>
      </c>
    </row>
    <row r="20" spans="2:21">
      <c r="B20" s="319" t="s">
        <v>282</v>
      </c>
      <c r="C20" s="288">
        <f>-C21*C19</f>
        <v>-882.38575530994763</v>
      </c>
      <c r="D20" s="288">
        <f t="shared" ref="D20:O20" si="30">-D21*D19</f>
        <v>-1122.0389112718594</v>
      </c>
      <c r="E20" s="288">
        <f t="shared" si="30"/>
        <v>-1491.3532869564383</v>
      </c>
      <c r="F20" s="288">
        <f t="shared" si="30"/>
        <v>-1956.1416127276827</v>
      </c>
      <c r="G20" s="289">
        <f t="shared" si="30"/>
        <v>-2522.6689179070941</v>
      </c>
      <c r="H20" s="288">
        <f t="shared" si="30"/>
        <v>-3012.1052839133672</v>
      </c>
      <c r="I20" s="288">
        <f t="shared" si="30"/>
        <v>-3529.6723347084444</v>
      </c>
      <c r="J20" s="288">
        <f t="shared" si="30"/>
        <v>-4053.3783655582884</v>
      </c>
      <c r="K20" s="288">
        <f t="shared" si="30"/>
        <v>-4575.7330203697566</v>
      </c>
      <c r="L20" s="288">
        <f t="shared" si="30"/>
        <v>-5091.0371291866986</v>
      </c>
      <c r="M20" s="288">
        <f t="shared" si="30"/>
        <v>-5595.2667686689574</v>
      </c>
      <c r="N20" s="288">
        <f t="shared" si="30"/>
        <v>-6085.8468068348848</v>
      </c>
      <c r="O20" s="288">
        <f t="shared" si="30"/>
        <v>-6561.3804126793957</v>
      </c>
      <c r="P20" s="235"/>
      <c r="Q20" s="235"/>
      <c r="R20" s="235"/>
      <c r="S20" s="235"/>
      <c r="T20" s="235"/>
      <c r="U20" s="235"/>
    </row>
    <row r="21" spans="2:21">
      <c r="B21" s="325" t="s">
        <v>182</v>
      </c>
      <c r="C21" s="290">
        <v>0.21</v>
      </c>
      <c r="D21" s="290">
        <v>0.21</v>
      </c>
      <c r="E21" s="290">
        <v>0.21</v>
      </c>
      <c r="F21" s="290">
        <v>0.21</v>
      </c>
      <c r="G21" s="291">
        <v>0.21</v>
      </c>
      <c r="H21" s="292">
        <v>0.21</v>
      </c>
      <c r="I21" s="290">
        <v>0.21</v>
      </c>
      <c r="J21" s="290">
        <v>0.21</v>
      </c>
      <c r="K21" s="290">
        <v>0.21</v>
      </c>
      <c r="L21" s="290">
        <v>0.21</v>
      </c>
      <c r="M21" s="290">
        <v>0.21</v>
      </c>
      <c r="N21" s="290">
        <v>0.21</v>
      </c>
      <c r="O21" s="290">
        <v>0.21</v>
      </c>
      <c r="P21" s="235"/>
      <c r="Q21" s="293" t="s">
        <v>224</v>
      </c>
      <c r="R21" s="294">
        <f ca="1">R9/O8</f>
        <v>3.7803125162019522</v>
      </c>
      <c r="S21" s="235"/>
      <c r="T21" s="293" t="s">
        <v>225</v>
      </c>
      <c r="U21" s="295">
        <f ca="1">(U9*C48-O27)/(O27+U9)</f>
        <v>4.341247792939007E-2</v>
      </c>
    </row>
    <row r="22" spans="2:21" ht="15.75" thickBot="1">
      <c r="B22" s="321" t="s">
        <v>183</v>
      </c>
      <c r="C22" s="251">
        <f>C19+C20</f>
        <v>3319.4511747374218</v>
      </c>
      <c r="D22" s="251">
        <f t="shared" ref="D22:O22" si="31">D19+D20</f>
        <v>4221.0035233560429</v>
      </c>
      <c r="E22" s="251">
        <f t="shared" si="31"/>
        <v>5610.3290318837444</v>
      </c>
      <c r="F22" s="251">
        <f t="shared" si="31"/>
        <v>7358.8184478803305</v>
      </c>
      <c r="G22" s="296">
        <f t="shared" si="31"/>
        <v>9490.0402149838301</v>
      </c>
      <c r="H22" s="251">
        <f t="shared" si="31"/>
        <v>11331.253210912193</v>
      </c>
      <c r="I22" s="251">
        <f t="shared" si="31"/>
        <v>13278.291163903195</v>
      </c>
      <c r="J22" s="251">
        <f t="shared" si="31"/>
        <v>15248.423375195467</v>
      </c>
      <c r="K22" s="251">
        <f t="shared" si="31"/>
        <v>17213.471838533846</v>
      </c>
      <c r="L22" s="251">
        <f t="shared" si="31"/>
        <v>19151.996819321394</v>
      </c>
      <c r="M22" s="251">
        <f t="shared" si="31"/>
        <v>21048.860701183221</v>
      </c>
      <c r="N22" s="251">
        <f t="shared" si="31"/>
        <v>22894.376082855044</v>
      </c>
      <c r="O22" s="251">
        <f t="shared" si="31"/>
        <v>24683.288219127255</v>
      </c>
      <c r="P22" s="235"/>
      <c r="Q22" s="235"/>
      <c r="R22" s="235"/>
      <c r="S22" s="235"/>
      <c r="T22" s="235"/>
      <c r="U22" s="235"/>
    </row>
    <row r="23" spans="2:21">
      <c r="B23" s="319" t="s">
        <v>179</v>
      </c>
      <c r="C23" s="297">
        <f>C8*'Income Statement'!$G$54</f>
        <v>785.0324991112094</v>
      </c>
      <c r="D23" s="297">
        <f>D8*'Income Statement'!$G$54</f>
        <v>909.32421407298557</v>
      </c>
      <c r="E23" s="297">
        <f>E8*'Income Statement'!$G$54</f>
        <v>1053.7877505371202</v>
      </c>
      <c r="F23" s="297">
        <f>F8*'Income Statement'!$G$54</f>
        <v>1221.7581251687427</v>
      </c>
      <c r="G23" s="297">
        <f>G8*'Income Statement'!$G$54</f>
        <v>1417.1294648932019</v>
      </c>
      <c r="H23" s="298">
        <f>H8*'Income Statement'!$G$54</f>
        <v>1604.08533041428</v>
      </c>
      <c r="I23" s="297">
        <f>I8*'Income Statement'!$G$54</f>
        <v>1778.6719607934533</v>
      </c>
      <c r="J23" s="297">
        <f>J8*'Income Statement'!$G$54</f>
        <v>1938.3824070490352</v>
      </c>
      <c r="K23" s="297">
        <f>K8*'Income Statement'!$G$54</f>
        <v>2081.9746146094321</v>
      </c>
      <c r="L23" s="297">
        <f>L8*'Income Statement'!$G$54</f>
        <v>2209.2137740111984</v>
      </c>
      <c r="M23" s="297">
        <f>M8*'Income Statement'!$G$54</f>
        <v>2320.6014267695368</v>
      </c>
      <c r="N23" s="297">
        <f>N8*'Income Statement'!$G$54</f>
        <v>2417.129539118348</v>
      </c>
      <c r="O23" s="297">
        <f>O8*'Income Statement'!$G$54</f>
        <v>2500.0777709617282</v>
      </c>
      <c r="P23" s="235"/>
      <c r="Q23" s="299" t="s">
        <v>226</v>
      </c>
      <c r="R23" s="300"/>
      <c r="S23" s="235"/>
      <c r="T23" s="235"/>
      <c r="U23" s="235"/>
    </row>
    <row r="24" spans="2:21">
      <c r="B24" s="319" t="s">
        <v>168</v>
      </c>
      <c r="C24" s="274">
        <f>Drivers!I31*DCF!C8</f>
        <v>766.85401793710037</v>
      </c>
      <c r="D24" s="274">
        <f>Drivers!J31*DCF!D8</f>
        <v>888.26759141672323</v>
      </c>
      <c r="E24" s="274">
        <f>Drivers!K31*DCF!E8</f>
        <v>1029.3858807975439</v>
      </c>
      <c r="F24" s="274">
        <f>Drivers!L31*DCF!F8</f>
        <v>1193.4666759576082</v>
      </c>
      <c r="G24" s="275">
        <f>Drivers!$M$31*DCF!G8</f>
        <v>1384.3139300866778</v>
      </c>
      <c r="H24" s="274">
        <f>Drivers!$M$31*DCF!H8</f>
        <v>1566.9405816126516</v>
      </c>
      <c r="I24" s="274">
        <f>Drivers!$M$31*DCF!I8</f>
        <v>1737.4844242382069</v>
      </c>
      <c r="J24" s="274">
        <f>Drivers!$M$31*DCF!J8</f>
        <v>1893.4965607501124</v>
      </c>
      <c r="K24" s="274">
        <f>Drivers!$M$31*DCF!K8</f>
        <v>2033.7636980174439</v>
      </c>
      <c r="L24" s="274">
        <f>Drivers!$M$31*DCF!L8</f>
        <v>2158.0564639050394</v>
      </c>
      <c r="M24" s="274">
        <f>Drivers!$M$31*DCF!M8</f>
        <v>2266.8647860611568</v>
      </c>
      <c r="N24" s="274">
        <f>Drivers!$M$31*DCF!N8</f>
        <v>2361.1576604101506</v>
      </c>
      <c r="O24" s="274">
        <f>Drivers!$M$31*DCF!O8</f>
        <v>2442.1851146134995</v>
      </c>
      <c r="P24" s="235"/>
      <c r="Q24" s="252" t="s">
        <v>209</v>
      </c>
      <c r="R24" s="301">
        <v>0.8</v>
      </c>
      <c r="S24" s="235"/>
      <c r="T24" s="235"/>
      <c r="U24" s="235"/>
    </row>
    <row r="25" spans="2:21">
      <c r="B25" s="319" t="s">
        <v>184</v>
      </c>
      <c r="C25" s="274">
        <f>'NWC Build'!I22-'NWC Build'!H22</f>
        <v>-1083.4790679169491</v>
      </c>
      <c r="D25" s="274">
        <f>'NWC Build'!J22-'NWC Build'!I22</f>
        <v>-1456.4863038279582</v>
      </c>
      <c r="E25" s="274">
        <f>'NWC Build'!K22-'NWC Build'!J22</f>
        <v>-1676.2964382201753</v>
      </c>
      <c r="F25" s="274">
        <f>'NWC Build'!L22-'NWC Build'!K22</f>
        <v>-1929.7808592952788</v>
      </c>
      <c r="G25" s="275">
        <f>'NWC Build'!M22-'NWC Build'!L22</f>
        <v>-2222.1449763112978</v>
      </c>
      <c r="H25" s="274">
        <f>'NWC Build'!N22-'NWC Build'!M22</f>
        <v>-2075.4419542425094</v>
      </c>
      <c r="I25" s="274">
        <f>'NWC Build'!O22-'NWC Build'!N22</f>
        <v>-1884.7570915521173</v>
      </c>
      <c r="J25" s="274">
        <f>'NWC Build'!P22-'NWC Build'!O22</f>
        <v>-1668.9520095935877</v>
      </c>
      <c r="K25" s="274">
        <f>'NWC Build'!Q22-'NWC Build'!P22</f>
        <v>-1443.9231667763961</v>
      </c>
      <c r="L25" s="274">
        <f>'NWC Build'!R22-'NWC Build'!Q22</f>
        <v>-1221.8573085932439</v>
      </c>
      <c r="M25" s="274">
        <f>'NWC Build'!S22-'NWC Build'!R22</f>
        <v>-1011.2616397543097</v>
      </c>
      <c r="N25" s="274">
        <f>'NWC Build'!T22-'NWC Build'!S22</f>
        <v>-817.43615012592636</v>
      </c>
      <c r="O25" s="274">
        <f>'NWC Build'!U22-'NWC Build'!T22</f>
        <v>-643.12903870833543</v>
      </c>
      <c r="P25" s="235"/>
      <c r="Q25" s="252" t="s">
        <v>227</v>
      </c>
      <c r="R25" s="301">
        <v>0.2</v>
      </c>
      <c r="S25" s="235"/>
      <c r="T25" s="235"/>
      <c r="U25" s="235"/>
    </row>
    <row r="26" spans="2:21" ht="15.75" thickBot="1">
      <c r="B26" s="319" t="s">
        <v>207</v>
      </c>
      <c r="C26" s="274">
        <f ca="1">345/(1-C6)</f>
        <v>416.77852348993292</v>
      </c>
      <c r="D26" s="274">
        <f>Drivers!J65*D8</f>
        <v>1279.1053316400814</v>
      </c>
      <c r="E26" s="274">
        <f>Drivers!K65*E8</f>
        <v>1334.084101513617</v>
      </c>
      <c r="F26" s="274">
        <f>Drivers!L65*F8</f>
        <v>1392.0595308369543</v>
      </c>
      <c r="G26" s="275">
        <f>Drivers!M65*G8</f>
        <v>1453.1973912477913</v>
      </c>
      <c r="H26" s="274">
        <f>H8*Drivers!$N$65</f>
        <v>1233.6836587152732</v>
      </c>
      <c r="I26" s="274">
        <f>I8*Drivers!$N$65</f>
        <v>1367.9562368912252</v>
      </c>
      <c r="J26" s="274">
        <f>J8*Drivers!$N$65</f>
        <v>1490.7877122097789</v>
      </c>
      <c r="K26" s="274">
        <f>K8*Drivers!$N$65</f>
        <v>1601.2228347230941</v>
      </c>
      <c r="L26" s="274">
        <f>L8*Drivers!$N$65</f>
        <v>1699.0810151617161</v>
      </c>
      <c r="M26" s="274">
        <f>M8*Drivers!$N$65</f>
        <v>1784.7479833616705</v>
      </c>
      <c r="N26" s="274">
        <f>N8*Drivers!$N$65</f>
        <v>1858.9866491941202</v>
      </c>
      <c r="O26" s="274">
        <f>O8*Drivers!$N$65</f>
        <v>1922.781184437501</v>
      </c>
      <c r="P26" s="235"/>
      <c r="Q26" s="284" t="s">
        <v>226</v>
      </c>
      <c r="R26" s="285">
        <f ca="1">R24*R19+U19*R25</f>
        <v>221.96429485693778</v>
      </c>
      <c r="S26" s="235"/>
      <c r="T26" s="235"/>
      <c r="U26" s="235"/>
    </row>
    <row r="27" spans="2:21">
      <c r="B27" s="321" t="s">
        <v>185</v>
      </c>
      <c r="C27" s="249">
        <f ca="1">C22+C23-C24-C25-C26</f>
        <v>4004.330200338547</v>
      </c>
      <c r="D27" s="249">
        <f t="shared" ref="D27:G27" si="32">D22+D23-D24-D25-D26</f>
        <v>4419.4411182001822</v>
      </c>
      <c r="E27" s="249">
        <f t="shared" si="32"/>
        <v>5976.943238329879</v>
      </c>
      <c r="F27" s="249">
        <f t="shared" si="32"/>
        <v>7924.8312255497895</v>
      </c>
      <c r="G27" s="250">
        <f t="shared" si="32"/>
        <v>10291.803334853859</v>
      </c>
      <c r="H27" s="249">
        <f t="shared" ref="H27" si="33">H22+H23-H24-H25-H26</f>
        <v>12210.156255241058</v>
      </c>
      <c r="I27" s="249">
        <f t="shared" ref="I27" si="34">I22+I23-I24-I25-I26</f>
        <v>13836.279555119336</v>
      </c>
      <c r="J27" s="249">
        <f t="shared" ref="J27" si="35">J22+J23-J24-J25-J26</f>
        <v>15471.4735188782</v>
      </c>
      <c r="K27" s="249">
        <f t="shared" ref="K27" si="36">K22+K23-K24-K25-K26</f>
        <v>17104.383087179136</v>
      </c>
      <c r="L27" s="249">
        <f t="shared" ref="L27" si="37">L22+L23-L24-L25-L26</f>
        <v>18725.930422859081</v>
      </c>
      <c r="M27" s="249">
        <f t="shared" ref="M27" si="38">M22+M23-M24-M25-M26</f>
        <v>20329.110998284239</v>
      </c>
      <c r="N27" s="249">
        <f t="shared" ref="N27" si="39">N22+N23-N24-N25-N26</f>
        <v>21908.797462495048</v>
      </c>
      <c r="O27" s="249">
        <f>O22+O23-O24-O25-O26</f>
        <v>23461.528729746315</v>
      </c>
      <c r="P27" s="235"/>
      <c r="Q27" s="235"/>
      <c r="R27" s="235"/>
      <c r="S27" s="235"/>
      <c r="T27" s="235"/>
      <c r="U27" s="235"/>
    </row>
    <row r="28" spans="2:21" ht="15.75">
      <c r="B28" s="319" t="s">
        <v>186</v>
      </c>
      <c r="C28" s="288">
        <f ca="1">(C27)/(1+$C$48)^C7</f>
        <v>3973.6176107931624</v>
      </c>
      <c r="D28" s="288">
        <f ca="1">(D27*D6)/(1+$C$48)^D7</f>
        <v>4161.6356457522561</v>
      </c>
      <c r="E28" s="288">
        <f ca="1">(E27*E6)/(1+$C$48)^E7</f>
        <v>5146.8852159234821</v>
      </c>
      <c r="F28" s="288">
        <f ca="1">(F27*F6)/(1+$C$48)^F7</f>
        <v>6240.5665937847452</v>
      </c>
      <c r="G28" s="302">
        <f ca="1">(G27*G6)/(1+$C$48)^G7</f>
        <v>7411.2954640441567</v>
      </c>
      <c r="H28" s="288">
        <f ca="1">(H27*H6)/(1+$C$48)^H7</f>
        <v>8040.6751976621572</v>
      </c>
      <c r="I28" s="288">
        <f ca="1">(I27*I6)/(1+$C$48)^I7</f>
        <v>8332.1921033060698</v>
      </c>
      <c r="J28" s="288">
        <f ca="1">(J27*J6)/(1+$C$48)^J7</f>
        <v>8520.0133087531558</v>
      </c>
      <c r="K28" s="288">
        <f ca="1">(K27*K6)/(1+$C$48)^K7</f>
        <v>8613.599174108449</v>
      </c>
      <c r="L28" s="288">
        <f ca="1">(L27*L6)/(1+$C$48)^L7</f>
        <v>8623.6137760392085</v>
      </c>
      <c r="M28" s="288">
        <f ca="1">(M27*M6)/(1+$C$48)^M7</f>
        <v>8561.1661970865534</v>
      </c>
      <c r="N28" s="288">
        <f ca="1">(N27*N6)/(1+$C$48)^N7</f>
        <v>8437.2657835747286</v>
      </c>
      <c r="O28" s="288">
        <f ca="1">(O27*O6)/(1+$C$48)^O7</f>
        <v>8262.4366975000903</v>
      </c>
      <c r="P28" s="235"/>
      <c r="Q28"/>
      <c r="R28"/>
      <c r="S28"/>
      <c r="T28"/>
      <c r="U28"/>
    </row>
    <row r="29" spans="2:21" ht="15.75">
      <c r="B29" s="321" t="s">
        <v>213</v>
      </c>
      <c r="C29" s="251">
        <f ca="1">C28*C6</f>
        <v>684.34525519215572</v>
      </c>
      <c r="D29" s="251">
        <f ca="1">D28*D6</f>
        <v>4161.6356457522561</v>
      </c>
      <c r="E29" s="251">
        <f ca="1">E28*E6</f>
        <v>5146.8852159234821</v>
      </c>
      <c r="F29" s="251">
        <f ca="1">F28*F6</f>
        <v>6240.5665937847452</v>
      </c>
      <c r="G29" s="277">
        <f ca="1">G28*G6</f>
        <v>7411.2954640441567</v>
      </c>
      <c r="H29" s="251">
        <f ca="1">H28*H6</f>
        <v>8040.6751976621572</v>
      </c>
      <c r="I29" s="251">
        <f ca="1">I28*I6</f>
        <v>8332.1921033060698</v>
      </c>
      <c r="J29" s="251">
        <f ca="1">J28*J6</f>
        <v>8520.0133087531558</v>
      </c>
      <c r="K29" s="251">
        <f ca="1">K28*K6</f>
        <v>8613.599174108449</v>
      </c>
      <c r="L29" s="251">
        <f ca="1">L28*L6</f>
        <v>8623.6137760392085</v>
      </c>
      <c r="M29" s="251">
        <f ca="1">M28*M6</f>
        <v>8561.1661970865534</v>
      </c>
      <c r="N29" s="251">
        <f ca="1">N28*N6</f>
        <v>8437.2657835747286</v>
      </c>
      <c r="O29" s="251">
        <f ca="1">O28*O6</f>
        <v>8262.4366975000903</v>
      </c>
      <c r="P29" s="235"/>
      <c r="Q29"/>
      <c r="R29"/>
      <c r="S29"/>
      <c r="T29"/>
      <c r="U29"/>
    </row>
    <row r="30" spans="2:21" ht="15.75"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/>
      <c r="R30"/>
      <c r="S30"/>
      <c r="T30"/>
      <c r="U30"/>
    </row>
    <row r="31" spans="2:21" ht="15.75"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/>
      <c r="R31"/>
      <c r="S31"/>
      <c r="T31"/>
      <c r="U31"/>
    </row>
    <row r="32" spans="2:21" ht="15.75">
      <c r="Q32"/>
      <c r="R32"/>
      <c r="S32"/>
      <c r="T32"/>
      <c r="U32"/>
    </row>
    <row r="33" spans="1:21" ht="16.5" thickBot="1">
      <c r="Q33"/>
      <c r="R33"/>
      <c r="S33"/>
      <c r="T33"/>
      <c r="U33"/>
    </row>
    <row r="34" spans="1:21" ht="15.75">
      <c r="B34" s="303" t="s">
        <v>187</v>
      </c>
      <c r="C34" s="304"/>
      <c r="Q34"/>
      <c r="R34"/>
      <c r="S34"/>
      <c r="T34"/>
      <c r="U34"/>
    </row>
    <row r="35" spans="1:21" ht="15.75">
      <c r="B35" s="232" t="s">
        <v>188</v>
      </c>
      <c r="C35" s="305">
        <v>5.2400000000000002E-2</v>
      </c>
    </row>
    <row r="36" spans="1:21" ht="15.75">
      <c r="B36" s="233" t="s">
        <v>189</v>
      </c>
      <c r="C36" s="306">
        <f>0.67*1.4+0.33*1</f>
        <v>1.268</v>
      </c>
    </row>
    <row r="37" spans="1:21" ht="15.75">
      <c r="B37" s="233" t="s">
        <v>190</v>
      </c>
      <c r="C37" s="307">
        <v>4.1599999999999998E-2</v>
      </c>
    </row>
    <row r="38" spans="1:21" ht="15.75">
      <c r="B38" s="308" t="s">
        <v>191</v>
      </c>
      <c r="C38" s="309">
        <f>C35*C36+C37</f>
        <v>0.10804320000000001</v>
      </c>
    </row>
    <row r="39" spans="1:21" ht="15.75">
      <c r="B39" s="233"/>
      <c r="C39" s="306"/>
      <c r="D39" s="74"/>
    </row>
    <row r="40" spans="1:21" ht="15.75">
      <c r="A40" s="74"/>
      <c r="B40" s="232" t="s">
        <v>192</v>
      </c>
      <c r="C40" s="310">
        <f ca="1">'Cost of Debt'!J20</f>
        <v>4.1303388486605641E-2</v>
      </c>
      <c r="D40" s="74"/>
    </row>
    <row r="41" spans="1:21" ht="15.75">
      <c r="A41" s="74"/>
      <c r="B41" s="233" t="s">
        <v>193</v>
      </c>
      <c r="C41" s="311">
        <v>0.21</v>
      </c>
      <c r="D41" s="74"/>
    </row>
    <row r="42" spans="1:21" ht="15.75">
      <c r="A42" s="74"/>
      <c r="B42" s="308" t="s">
        <v>194</v>
      </c>
      <c r="C42" s="309">
        <f ca="1">C40*(1-C41)</f>
        <v>3.262967690441846E-2</v>
      </c>
      <c r="D42" s="74"/>
    </row>
    <row r="43" spans="1:21" ht="15.75">
      <c r="A43" s="74"/>
      <c r="B43" s="233"/>
      <c r="C43" s="306"/>
      <c r="D43" s="74"/>
    </row>
    <row r="44" spans="1:21" ht="15.75">
      <c r="A44" s="74"/>
      <c r="B44" s="232" t="s">
        <v>195</v>
      </c>
      <c r="C44" s="312">
        <v>60098</v>
      </c>
      <c r="D44" s="74"/>
    </row>
    <row r="45" spans="1:21" ht="15.75">
      <c r="A45" s="74"/>
      <c r="B45" s="233" t="s">
        <v>196</v>
      </c>
      <c r="C45" s="313">
        <f>'Cost of Debt'!F20</f>
        <v>14320</v>
      </c>
      <c r="D45" s="74"/>
    </row>
    <row r="46" spans="1:21" ht="15.75">
      <c r="A46" s="74"/>
      <c r="B46" s="233" t="s">
        <v>197</v>
      </c>
      <c r="C46" s="314">
        <f>C44/(C45+C44)</f>
        <v>0.8075734365341718</v>
      </c>
      <c r="D46" s="74"/>
    </row>
    <row r="47" spans="1:21" ht="15.75">
      <c r="A47" s="74"/>
      <c r="B47" s="233" t="s">
        <v>198</v>
      </c>
      <c r="C47" s="314">
        <f>C45/(C45+C44)</f>
        <v>0.19242656346582815</v>
      </c>
      <c r="D47" s="74"/>
    </row>
    <row r="48" spans="1:21" ht="16.5" thickBot="1">
      <c r="A48" s="74"/>
      <c r="B48" s="315" t="s">
        <v>199</v>
      </c>
      <c r="C48" s="316">
        <f ca="1">C46*C38+C47*C42</f>
        <v>9.3531634911866376E-2</v>
      </c>
      <c r="D48" s="74"/>
    </row>
    <row r="49" spans="1:4">
      <c r="A49" s="74"/>
      <c r="B49" s="74"/>
      <c r="C49" s="76"/>
      <c r="D49" s="74"/>
    </row>
    <row r="50" spans="1:4">
      <c r="A50" s="74"/>
      <c r="B50" s="74"/>
      <c r="C50" s="74"/>
      <c r="D50" s="74"/>
    </row>
    <row r="51" spans="1:4">
      <c r="A51" s="74"/>
      <c r="B51" s="74"/>
      <c r="C51" s="78"/>
      <c r="D51" s="74"/>
    </row>
    <row r="52" spans="1:4">
      <c r="A52" s="74"/>
      <c r="B52" s="74"/>
      <c r="C52" s="78"/>
      <c r="D52" s="74"/>
    </row>
    <row r="53" spans="1:4">
      <c r="A53" s="74"/>
      <c r="B53" s="74"/>
      <c r="C53" s="79"/>
      <c r="D53" s="74"/>
    </row>
    <row r="54" spans="1:4">
      <c r="A54" s="74"/>
      <c r="B54" s="74"/>
      <c r="C54" s="79"/>
      <c r="D54" s="74"/>
    </row>
    <row r="55" spans="1:4">
      <c r="A55" s="74"/>
      <c r="B55" s="74"/>
      <c r="C55" s="76"/>
      <c r="D55" s="74"/>
    </row>
    <row r="56" spans="1:4">
      <c r="A56" s="74"/>
      <c r="B56" s="74"/>
      <c r="C56" s="74"/>
      <c r="D56" s="74"/>
    </row>
    <row r="57" spans="1:4">
      <c r="A57" s="74"/>
      <c r="B57" s="74"/>
      <c r="C57" s="74"/>
      <c r="D57" s="74"/>
    </row>
    <row r="58" spans="1:4">
      <c r="A58" s="74"/>
      <c r="B58" s="74"/>
      <c r="C58" s="74"/>
      <c r="D58" s="74"/>
    </row>
    <row r="59" spans="1:4">
      <c r="A59" s="74"/>
      <c r="B59" s="74"/>
      <c r="C59" s="74"/>
      <c r="D59" s="74"/>
    </row>
    <row r="60" spans="1:4">
      <c r="A60" s="74"/>
      <c r="B60" s="74"/>
      <c r="C60" s="74"/>
      <c r="D60" s="74"/>
    </row>
    <row r="61" spans="1:4">
      <c r="A61" s="74"/>
    </row>
  </sheetData>
  <mergeCells count="6">
    <mergeCell ref="T5:U5"/>
    <mergeCell ref="T6:U6"/>
    <mergeCell ref="Q23:R23"/>
    <mergeCell ref="B34:C34"/>
    <mergeCell ref="Q6:R6"/>
    <mergeCell ref="Q5:R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608C-1490-EF42-B496-49E84FCBEEE0}">
  <sheetPr>
    <tabColor rgb="FF00B0F0"/>
  </sheetPr>
  <dimension ref="C3:O18"/>
  <sheetViews>
    <sheetView showGridLines="0" workbookViewId="0">
      <selection activeCell="L25" sqref="L25"/>
    </sheetView>
  </sheetViews>
  <sheetFormatPr defaultColWidth="11" defaultRowHeight="15.75"/>
  <cols>
    <col min="3" max="3" width="10.5" bestFit="1" customWidth="1"/>
    <col min="4" max="4" width="14.875" bestFit="1" customWidth="1"/>
    <col min="5" max="5" width="17.5" bestFit="1" customWidth="1"/>
    <col min="6" max="6" width="20.25" bestFit="1" customWidth="1"/>
    <col min="7" max="7" width="18" bestFit="1" customWidth="1"/>
    <col min="8" max="8" width="17.5" bestFit="1" customWidth="1"/>
    <col min="9" max="9" width="7.875" bestFit="1" customWidth="1"/>
    <col min="10" max="10" width="16.875" bestFit="1" customWidth="1"/>
    <col min="11" max="12" width="13.5" bestFit="1" customWidth="1"/>
    <col min="13" max="13" width="14.5" bestFit="1" customWidth="1"/>
    <col min="14" max="14" width="14.125" bestFit="1" customWidth="1"/>
  </cols>
  <sheetData>
    <row r="3" spans="3:15">
      <c r="C3" s="218" t="s">
        <v>7</v>
      </c>
      <c r="D3" s="218" t="s">
        <v>8</v>
      </c>
      <c r="E3" s="219" t="s">
        <v>19</v>
      </c>
      <c r="F3" s="219" t="s">
        <v>20</v>
      </c>
      <c r="G3" s="219" t="s">
        <v>24</v>
      </c>
      <c r="H3" s="219" t="s">
        <v>26</v>
      </c>
      <c r="I3" s="219" t="s">
        <v>22</v>
      </c>
      <c r="J3" s="219" t="s">
        <v>27</v>
      </c>
      <c r="K3" s="219" t="s">
        <v>23</v>
      </c>
      <c r="L3" s="219" t="s">
        <v>28</v>
      </c>
      <c r="M3" s="219" t="s">
        <v>25</v>
      </c>
      <c r="N3" s="219" t="s">
        <v>29</v>
      </c>
      <c r="O3" s="219" t="s">
        <v>21</v>
      </c>
    </row>
    <row r="4" spans="3:15">
      <c r="C4" s="218"/>
      <c r="D4" s="218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3:15" ht="16.5" thickBot="1">
      <c r="C5" s="218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3:15">
      <c r="C6" s="5" t="s">
        <v>9</v>
      </c>
      <c r="D6" s="6" t="s">
        <v>16</v>
      </c>
      <c r="E6" s="7">
        <v>1798168.01</v>
      </c>
      <c r="F6" s="7">
        <v>1768060</v>
      </c>
      <c r="G6" s="8">
        <v>0.68259999999999998</v>
      </c>
      <c r="H6" s="8">
        <v>0.68259999999999998</v>
      </c>
      <c r="I6" s="9">
        <v>0.48670000000000002</v>
      </c>
      <c r="J6" s="122">
        <v>0.48330000000000001</v>
      </c>
      <c r="K6" s="15">
        <v>17.440000000000001</v>
      </c>
      <c r="L6" s="15">
        <v>17.18</v>
      </c>
      <c r="M6" s="16">
        <v>8.7100000000000009</v>
      </c>
      <c r="N6" s="16">
        <v>8.3000000000000007</v>
      </c>
      <c r="O6" s="17">
        <v>25.97</v>
      </c>
    </row>
    <row r="7" spans="3:15">
      <c r="C7" s="10" t="s">
        <v>10</v>
      </c>
      <c r="D7" s="11" t="s">
        <v>17</v>
      </c>
      <c r="E7" s="14">
        <v>37567.74</v>
      </c>
      <c r="F7" s="14">
        <v>35702.800000000003</v>
      </c>
      <c r="G7" s="12">
        <v>0.72230000000000005</v>
      </c>
      <c r="H7" s="12">
        <v>0.76919999999999999</v>
      </c>
      <c r="I7" s="13">
        <v>3.0800000000000001E-2</v>
      </c>
      <c r="J7" s="13">
        <v>0.2515</v>
      </c>
      <c r="K7" s="18">
        <v>115.3</v>
      </c>
      <c r="L7" s="19">
        <v>22.88</v>
      </c>
      <c r="M7" s="18">
        <v>6.29</v>
      </c>
      <c r="N7" s="18">
        <v>5.76</v>
      </c>
      <c r="O7" s="20">
        <v>-187.75</v>
      </c>
    </row>
    <row r="8" spans="3:15">
      <c r="C8" s="10" t="s">
        <v>11</v>
      </c>
      <c r="D8" s="11" t="s">
        <v>18</v>
      </c>
      <c r="E8" s="14">
        <v>214965.34</v>
      </c>
      <c r="F8" s="14">
        <v>295748.34000000003</v>
      </c>
      <c r="G8" s="12">
        <v>0.77780000000000005</v>
      </c>
      <c r="H8" s="12">
        <v>0.76439999999999997</v>
      </c>
      <c r="I8" s="13">
        <v>0.4168</v>
      </c>
      <c r="J8" s="13">
        <v>0.44419999999999998</v>
      </c>
      <c r="K8" s="18">
        <v>15.43</v>
      </c>
      <c r="L8" s="19">
        <v>13.51</v>
      </c>
      <c r="M8" s="18">
        <v>6.7</v>
      </c>
      <c r="N8" s="18">
        <v>6</v>
      </c>
      <c r="O8" s="20">
        <v>37.96</v>
      </c>
    </row>
    <row r="9" spans="3:15">
      <c r="C9" s="10" t="s">
        <v>12</v>
      </c>
      <c r="D9" s="11" t="s">
        <v>30</v>
      </c>
      <c r="E9" s="14">
        <v>80520.600000000006</v>
      </c>
      <c r="F9" s="14">
        <v>77172.600000000006</v>
      </c>
      <c r="G9" s="12">
        <v>0.77859999999999996</v>
      </c>
      <c r="H9" s="12">
        <v>0.82110000000000005</v>
      </c>
      <c r="I9" s="13">
        <v>9.7699999999999995E-2</v>
      </c>
      <c r="J9" s="13">
        <v>0.32150000000000001</v>
      </c>
      <c r="K9" s="18">
        <v>98.06</v>
      </c>
      <c r="L9" s="19">
        <v>27.12</v>
      </c>
      <c r="M9" s="18">
        <v>11.15</v>
      </c>
      <c r="N9" s="18">
        <v>8.7200000000000006</v>
      </c>
      <c r="O9" s="20">
        <v>403.15</v>
      </c>
    </row>
    <row r="10" spans="3:15">
      <c r="C10" s="10" t="s">
        <v>13</v>
      </c>
      <c r="D10" s="11" t="s">
        <v>31</v>
      </c>
      <c r="E10" s="14">
        <v>107130.28</v>
      </c>
      <c r="F10" s="14">
        <v>111389.28</v>
      </c>
      <c r="G10" s="12">
        <v>0.82189999999999996</v>
      </c>
      <c r="H10" s="12">
        <v>0.82979999999999998</v>
      </c>
      <c r="I10" s="13">
        <v>0.25459999999999999</v>
      </c>
      <c r="J10" s="13">
        <v>0.37859999999999999</v>
      </c>
      <c r="K10" s="18">
        <v>33.32</v>
      </c>
      <c r="L10" s="19">
        <v>20.190000000000001</v>
      </c>
      <c r="M10" s="18">
        <v>8.75</v>
      </c>
      <c r="N10" s="18">
        <v>7.64</v>
      </c>
      <c r="O10" s="20">
        <v>52.21</v>
      </c>
    </row>
    <row r="11" spans="3:15">
      <c r="C11" s="10" t="s">
        <v>14</v>
      </c>
      <c r="D11" s="11" t="s">
        <v>14</v>
      </c>
      <c r="E11" s="14">
        <v>121605.3</v>
      </c>
      <c r="F11" s="14">
        <v>125583.5</v>
      </c>
      <c r="G11" s="12">
        <v>0.72089999999999999</v>
      </c>
      <c r="H11" s="12">
        <v>0.72740000000000005</v>
      </c>
      <c r="I11" s="13">
        <v>0.20930000000000001</v>
      </c>
      <c r="J11" s="13">
        <v>0.32340000000000002</v>
      </c>
      <c r="K11" s="18">
        <v>17.920000000000002</v>
      </c>
      <c r="L11" s="19">
        <v>11.34</v>
      </c>
      <c r="M11" s="18">
        <v>3.98</v>
      </c>
      <c r="N11" s="18">
        <v>3.67</v>
      </c>
      <c r="O11" s="20">
        <v>38.630000000000003</v>
      </c>
    </row>
    <row r="12" spans="3:15">
      <c r="C12" s="10" t="s">
        <v>15</v>
      </c>
      <c r="D12" s="11" t="s">
        <v>32</v>
      </c>
      <c r="E12" s="14">
        <v>153816.81</v>
      </c>
      <c r="F12" s="14">
        <v>152693.81</v>
      </c>
      <c r="G12" s="12">
        <v>0.87760000000000005</v>
      </c>
      <c r="H12" s="12">
        <v>0.89090000000000003</v>
      </c>
      <c r="I12" s="13">
        <v>0.39140000000000003</v>
      </c>
      <c r="J12" s="13">
        <v>0.49330000000000002</v>
      </c>
      <c r="K12" s="18">
        <v>22.3</v>
      </c>
      <c r="L12" s="19">
        <v>15.9</v>
      </c>
      <c r="M12" s="18">
        <v>8.8800000000000008</v>
      </c>
      <c r="N12" s="18">
        <v>7.84</v>
      </c>
      <c r="O12" s="20">
        <v>32.630000000000003</v>
      </c>
    </row>
    <row r="13" spans="3:15" ht="16.5" thickBot="1">
      <c r="C13" s="130" t="s">
        <v>0</v>
      </c>
      <c r="D13" s="131" t="s">
        <v>33</v>
      </c>
      <c r="E13" s="132">
        <v>147891.96</v>
      </c>
      <c r="F13" s="132">
        <v>148677.96</v>
      </c>
      <c r="G13" s="133">
        <v>0.72609999999999997</v>
      </c>
      <c r="H13" s="134">
        <v>0.77900000000000003</v>
      </c>
      <c r="I13" s="133">
        <v>8.4099999999999994E-2</v>
      </c>
      <c r="J13" s="134">
        <v>0.23039999999999999</v>
      </c>
      <c r="K13" s="135">
        <v>42.8</v>
      </c>
      <c r="L13" s="135">
        <v>18.2</v>
      </c>
      <c r="M13" s="136">
        <v>5.07</v>
      </c>
      <c r="N13" s="136">
        <v>4.1900000000000004</v>
      </c>
      <c r="O13" s="137">
        <v>274.74</v>
      </c>
    </row>
    <row r="14" spans="3:15" ht="16.5" thickBot="1"/>
    <row r="15" spans="3:15">
      <c r="D15" s="1" t="s">
        <v>34</v>
      </c>
      <c r="E15" s="21">
        <f>MIN(E6:E12)</f>
        <v>37567.74</v>
      </c>
      <c r="F15" s="21">
        <f>MIN(F6:F12)</f>
        <v>35702.800000000003</v>
      </c>
      <c r="G15" s="2">
        <f>MIN(G6:G13)</f>
        <v>0.68259999999999998</v>
      </c>
      <c r="H15" s="2">
        <f t="shared" ref="H15:O15" si="0">MIN(H6:H13)</f>
        <v>0.68259999999999998</v>
      </c>
      <c r="I15" s="2">
        <f t="shared" si="0"/>
        <v>3.0800000000000001E-2</v>
      </c>
      <c r="J15" s="2">
        <f t="shared" si="0"/>
        <v>0.23039999999999999</v>
      </c>
      <c r="K15" s="123">
        <f t="shared" si="0"/>
        <v>15.43</v>
      </c>
      <c r="L15" s="123">
        <f t="shared" si="0"/>
        <v>11.34</v>
      </c>
      <c r="M15" s="123">
        <f t="shared" si="0"/>
        <v>3.98</v>
      </c>
      <c r="N15" s="123">
        <f t="shared" si="0"/>
        <v>3.67</v>
      </c>
      <c r="O15" s="125">
        <f t="shared" si="0"/>
        <v>-187.75</v>
      </c>
    </row>
    <row r="16" spans="3:15">
      <c r="D16" s="3" t="s">
        <v>35</v>
      </c>
      <c r="E16" s="127">
        <f>MEDIAN(E6:E12)</f>
        <v>121605.3</v>
      </c>
      <c r="F16" s="127">
        <f t="shared" ref="F16:O16" si="1">MEDIAN(F6:F12)</f>
        <v>125583.5</v>
      </c>
      <c r="G16" s="22">
        <f t="shared" si="1"/>
        <v>0.77780000000000005</v>
      </c>
      <c r="H16" s="22">
        <f t="shared" si="1"/>
        <v>0.76919999999999999</v>
      </c>
      <c r="I16" s="22">
        <f t="shared" si="1"/>
        <v>0.25459999999999999</v>
      </c>
      <c r="J16" s="22">
        <f t="shared" si="1"/>
        <v>0.37859999999999999</v>
      </c>
      <c r="K16" s="128">
        <f t="shared" si="1"/>
        <v>22.3</v>
      </c>
      <c r="L16" s="128">
        <f t="shared" si="1"/>
        <v>17.18</v>
      </c>
      <c r="M16" s="128">
        <f t="shared" si="1"/>
        <v>8.7100000000000009</v>
      </c>
      <c r="N16" s="128">
        <f t="shared" si="1"/>
        <v>7.64</v>
      </c>
      <c r="O16" s="129">
        <f t="shared" si="1"/>
        <v>37.96</v>
      </c>
    </row>
    <row r="17" spans="4:15">
      <c r="D17" s="3" t="s">
        <v>36</v>
      </c>
      <c r="E17" s="127">
        <f>AVERAGE(E6:E12)</f>
        <v>359110.58285714278</v>
      </c>
      <c r="F17" s="127">
        <f t="shared" ref="F17:O17" si="2">AVERAGE(F6:F12)</f>
        <v>366621.47571428574</v>
      </c>
      <c r="G17" s="22">
        <f t="shared" si="2"/>
        <v>0.76881428571428578</v>
      </c>
      <c r="H17" s="22">
        <f t="shared" si="2"/>
        <v>0.78362857142857145</v>
      </c>
      <c r="I17" s="22">
        <f t="shared" si="2"/>
        <v>0.2696142857142857</v>
      </c>
      <c r="J17" s="22">
        <f t="shared" si="2"/>
        <v>0.38511428571428574</v>
      </c>
      <c r="K17" s="128">
        <f t="shared" si="2"/>
        <v>45.681428571428576</v>
      </c>
      <c r="L17" s="128">
        <f t="shared" si="2"/>
        <v>18.302857142857142</v>
      </c>
      <c r="M17" s="128">
        <f t="shared" si="2"/>
        <v>7.78</v>
      </c>
      <c r="N17" s="128">
        <f t="shared" si="2"/>
        <v>6.8471428571428579</v>
      </c>
      <c r="O17" s="129">
        <f t="shared" si="2"/>
        <v>57.542857142857137</v>
      </c>
    </row>
    <row r="18" spans="4:15" ht="16.5" thickBot="1">
      <c r="D18" s="4" t="s">
        <v>37</v>
      </c>
      <c r="E18" s="23">
        <f>MAX(E6:E13)</f>
        <v>1798168.01</v>
      </c>
      <c r="F18" s="23">
        <f t="shared" ref="F18:O18" si="3">MAX(F6:F13)</f>
        <v>1768060</v>
      </c>
      <c r="G18" s="24">
        <f t="shared" si="3"/>
        <v>0.87760000000000005</v>
      </c>
      <c r="H18" s="24">
        <f t="shared" si="3"/>
        <v>0.89090000000000003</v>
      </c>
      <c r="I18" s="24">
        <f t="shared" si="3"/>
        <v>0.48670000000000002</v>
      </c>
      <c r="J18" s="24">
        <f t="shared" si="3"/>
        <v>0.49330000000000002</v>
      </c>
      <c r="K18" s="124">
        <f t="shared" si="3"/>
        <v>115.3</v>
      </c>
      <c r="L18" s="124">
        <f t="shared" si="3"/>
        <v>27.12</v>
      </c>
      <c r="M18" s="124">
        <f t="shared" si="3"/>
        <v>11.15</v>
      </c>
      <c r="N18" s="124">
        <f t="shared" si="3"/>
        <v>8.7200000000000006</v>
      </c>
      <c r="O18" s="126">
        <f t="shared" si="3"/>
        <v>403.15</v>
      </c>
    </row>
  </sheetData>
  <mergeCells count="13">
    <mergeCell ref="C3:C5"/>
    <mergeCell ref="N3:N5"/>
    <mergeCell ref="O3:O5"/>
    <mergeCell ref="D3:D5"/>
    <mergeCell ref="E3:E5"/>
    <mergeCell ref="F3:F5"/>
    <mergeCell ref="G3:G5"/>
    <mergeCell ref="H3:H5"/>
    <mergeCell ref="J3:J5"/>
    <mergeCell ref="K3:K5"/>
    <mergeCell ref="L3:L5"/>
    <mergeCell ref="M3:M5"/>
    <mergeCell ref="I3:I5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A8A59-12E7-9C4A-90E1-B25E7C284F2C}">
  <sheetPr>
    <tabColor rgb="FF00B0F0"/>
  </sheetPr>
  <dimension ref="D5:J20"/>
  <sheetViews>
    <sheetView showGridLines="0" workbookViewId="0">
      <selection activeCell="H26" sqref="H26"/>
    </sheetView>
  </sheetViews>
  <sheetFormatPr defaultColWidth="11" defaultRowHeight="15.75"/>
  <cols>
    <col min="4" max="4" width="43" customWidth="1"/>
    <col min="5" max="5" width="13.875" customWidth="1"/>
    <col min="8" max="8" width="11.125" bestFit="1" customWidth="1"/>
    <col min="9" max="9" width="14.125" bestFit="1" customWidth="1"/>
    <col min="10" max="10" width="16.5" bestFit="1" customWidth="1"/>
  </cols>
  <sheetData>
    <row r="5" spans="4:10">
      <c r="D5" s="220" t="s">
        <v>55</v>
      </c>
      <c r="E5" s="221"/>
      <c r="F5" s="221"/>
      <c r="G5" s="221"/>
      <c r="H5" s="221"/>
      <c r="I5" s="221"/>
      <c r="J5" s="222"/>
    </row>
    <row r="6" spans="4:10">
      <c r="D6" s="223"/>
      <c r="E6" s="224"/>
      <c r="F6" s="224"/>
      <c r="G6" s="224"/>
      <c r="H6" s="224"/>
      <c r="I6" s="224"/>
      <c r="J6" s="225"/>
    </row>
    <row r="7" spans="4:10">
      <c r="D7" s="28" t="s">
        <v>51</v>
      </c>
      <c r="E7" s="138" t="s">
        <v>240</v>
      </c>
      <c r="F7" s="29" t="s">
        <v>52</v>
      </c>
      <c r="G7" s="29" t="s">
        <v>239</v>
      </c>
      <c r="H7" s="29" t="s">
        <v>53</v>
      </c>
      <c r="I7" s="29" t="s">
        <v>241</v>
      </c>
      <c r="J7" s="30" t="s">
        <v>54</v>
      </c>
    </row>
    <row r="8" spans="4:10">
      <c r="D8" s="31" t="s">
        <v>39</v>
      </c>
      <c r="E8" s="139"/>
      <c r="F8" s="25">
        <v>514</v>
      </c>
      <c r="G8" s="25"/>
      <c r="H8" s="26">
        <v>1.9E-2</v>
      </c>
      <c r="I8" s="26">
        <v>1.9E-2</v>
      </c>
      <c r="J8" s="32">
        <f>IFERROR(F8/SUM($F$8:$F$19), "NA")</f>
        <v>3.5893854748603349E-2</v>
      </c>
    </row>
    <row r="9" spans="4:10">
      <c r="D9" s="31" t="s">
        <v>40</v>
      </c>
      <c r="E9" s="139"/>
      <c r="F9" s="25">
        <v>184</v>
      </c>
      <c r="G9" s="25"/>
      <c r="H9" s="26">
        <v>3.7499999999999999E-2</v>
      </c>
      <c r="I9" s="26">
        <v>3.7499999999999999E-2</v>
      </c>
      <c r="J9" s="32">
        <f t="shared" ref="J9:J18" si="0">IFERROR(F9/SUM($F$8:$F$19), "NA")</f>
        <v>1.2849162011173185E-2</v>
      </c>
    </row>
    <row r="10" spans="4:10">
      <c r="D10" s="31" t="s">
        <v>41</v>
      </c>
      <c r="E10" s="139"/>
      <c r="F10" s="25">
        <v>3206</v>
      </c>
      <c r="G10" s="25"/>
      <c r="H10" s="26">
        <v>2.1000000000000001E-2</v>
      </c>
      <c r="I10" s="26">
        <v>2.1000000000000001E-2</v>
      </c>
      <c r="J10" s="32">
        <f t="shared" si="0"/>
        <v>0.22388268156424582</v>
      </c>
    </row>
    <row r="11" spans="4:10">
      <c r="D11" s="31" t="s">
        <v>42</v>
      </c>
      <c r="E11" s="141">
        <v>45488</v>
      </c>
      <c r="F11" s="25">
        <v>999</v>
      </c>
      <c r="G11" s="25">
        <v>93.328999999999994</v>
      </c>
      <c r="H11" s="26">
        <v>6.2500000000000003E-3</v>
      </c>
      <c r="I11" s="26">
        <f ca="1">YIELD(TODAY(),E11,H11,G11,100,1)</f>
        <v>4.9910175617062666E-2</v>
      </c>
      <c r="J11" s="32">
        <f t="shared" si="0"/>
        <v>6.9762569832402241E-2</v>
      </c>
    </row>
    <row r="12" spans="4:10">
      <c r="D12" s="31" t="s">
        <v>43</v>
      </c>
      <c r="E12" s="141">
        <v>48044</v>
      </c>
      <c r="F12" s="25">
        <v>1488</v>
      </c>
      <c r="G12" s="25">
        <v>81.25</v>
      </c>
      <c r="H12" s="26">
        <v>1.95E-2</v>
      </c>
      <c r="I12" s="26">
        <f t="shared" ref="I12:I18" ca="1" si="1">YIELD(TODAY(),E12,H12,G12,100,1)</f>
        <v>4.6344239646231675E-2</v>
      </c>
      <c r="J12" s="32">
        <f t="shared" si="0"/>
        <v>0.10391061452513967</v>
      </c>
    </row>
    <row r="13" spans="4:10">
      <c r="D13" s="31" t="s">
        <v>44</v>
      </c>
      <c r="E13" s="141">
        <v>51697</v>
      </c>
      <c r="F13" s="25">
        <v>1234</v>
      </c>
      <c r="G13" s="25">
        <v>73.66</v>
      </c>
      <c r="H13" s="26">
        <v>2.7E-2</v>
      </c>
      <c r="I13" s="26">
        <f t="shared" ca="1" si="1"/>
        <v>4.8842988977736417E-2</v>
      </c>
      <c r="J13" s="32">
        <f t="shared" si="0"/>
        <v>8.6173184357541899E-2</v>
      </c>
    </row>
    <row r="14" spans="4:10">
      <c r="D14" s="31" t="s">
        <v>45</v>
      </c>
      <c r="E14" s="141">
        <v>51697</v>
      </c>
      <c r="F14" s="25">
        <v>1978</v>
      </c>
      <c r="G14" s="25">
        <v>70.25</v>
      </c>
      <c r="H14" s="26">
        <v>2.9000000000000001E-2</v>
      </c>
      <c r="I14" s="26">
        <f t="shared" ca="1" si="1"/>
        <v>5.4886299451062999E-2</v>
      </c>
      <c r="J14" s="32">
        <f t="shared" si="0"/>
        <v>0.13812849162011173</v>
      </c>
    </row>
    <row r="15" spans="4:10">
      <c r="D15" s="31" t="s">
        <v>46</v>
      </c>
      <c r="E15" s="141">
        <v>59002</v>
      </c>
      <c r="F15" s="25">
        <v>1235</v>
      </c>
      <c r="G15" s="25">
        <v>68.739999999999995</v>
      </c>
      <c r="H15" s="26">
        <v>3.0499999999999999E-2</v>
      </c>
      <c r="I15" s="26">
        <f t="shared" ca="1" si="1"/>
        <v>4.8566272364919352E-2</v>
      </c>
      <c r="J15" s="32">
        <f t="shared" si="0"/>
        <v>8.6243016759776539E-2</v>
      </c>
    </row>
    <row r="16" spans="4:10">
      <c r="D16" s="31" t="s">
        <v>47</v>
      </c>
      <c r="E16" s="141">
        <v>45031</v>
      </c>
      <c r="F16" s="25">
        <v>999</v>
      </c>
      <c r="G16" s="25">
        <v>99.32</v>
      </c>
      <c r="H16" s="26">
        <v>3.2500000000000001E-2</v>
      </c>
      <c r="I16" s="26">
        <f ca="1">YIELD(TODAY(),E16,H16,G16,100,1)</f>
        <v>4.9831155161827838E-2</v>
      </c>
      <c r="J16" s="32">
        <f t="shared" si="0"/>
        <v>6.9762569832402241E-2</v>
      </c>
    </row>
    <row r="17" spans="4:10">
      <c r="D17" s="31" t="s">
        <v>48</v>
      </c>
      <c r="E17" s="141">
        <v>46858</v>
      </c>
      <c r="F17" s="25">
        <v>1492</v>
      </c>
      <c r="G17" s="25">
        <v>96.39</v>
      </c>
      <c r="H17" s="26">
        <v>3.6999999999999998E-2</v>
      </c>
      <c r="I17" s="26">
        <f t="shared" ca="1" si="1"/>
        <v>4.4658645016766425E-2</v>
      </c>
      <c r="J17" s="32">
        <f t="shared" si="0"/>
        <v>0.10418994413407821</v>
      </c>
    </row>
    <row r="18" spans="4:10">
      <c r="D18" s="31" t="s">
        <v>49</v>
      </c>
      <c r="E18" s="141">
        <v>46949</v>
      </c>
      <c r="F18" s="25">
        <v>991</v>
      </c>
      <c r="G18" s="25">
        <v>85.89</v>
      </c>
      <c r="H18" s="26">
        <v>1.4999999999999999E-2</v>
      </c>
      <c r="I18" s="26">
        <f t="shared" ca="1" si="1"/>
        <v>4.3817670674135265E-2</v>
      </c>
      <c r="J18" s="32">
        <f t="shared" si="0"/>
        <v>6.9203910614525146E-2</v>
      </c>
    </row>
    <row r="19" spans="4:10">
      <c r="D19" s="31" t="s">
        <v>50</v>
      </c>
      <c r="E19" s="139"/>
      <c r="F19" s="27" t="s">
        <v>4</v>
      </c>
      <c r="G19" s="27"/>
      <c r="H19" s="27" t="s">
        <v>4</v>
      </c>
      <c r="I19" s="27"/>
      <c r="J19" s="33" t="s">
        <v>4</v>
      </c>
    </row>
    <row r="20" spans="4:10">
      <c r="D20" s="34" t="s">
        <v>56</v>
      </c>
      <c r="E20" s="140"/>
      <c r="F20" s="35">
        <f>SUM(F8:F18)</f>
        <v>14320</v>
      </c>
      <c r="G20" s="35"/>
      <c r="H20" s="36" t="s">
        <v>55</v>
      </c>
      <c r="I20" s="36"/>
      <c r="J20" s="37">
        <f ca="1">SUMPRODUCT(I8:I19,J8:J19)</f>
        <v>4.1303388486605641E-2</v>
      </c>
    </row>
  </sheetData>
  <mergeCells count="1">
    <mergeCell ref="D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1751-AE3F-4B62-9C62-10A46B864CFE}">
  <sheetPr>
    <tabColor rgb="FF00B0F0"/>
  </sheetPr>
  <dimension ref="A2:H56"/>
  <sheetViews>
    <sheetView showGridLines="0" workbookViewId="0">
      <selection activeCell="G45" sqref="G45"/>
    </sheetView>
  </sheetViews>
  <sheetFormatPr defaultColWidth="9" defaultRowHeight="15"/>
  <cols>
    <col min="1" max="1" width="11" style="52" customWidth="1"/>
    <col min="2" max="2" width="29.125" style="52" bestFit="1" customWidth="1"/>
    <col min="3" max="4" width="10.875" style="52" bestFit="1" customWidth="1"/>
    <col min="5" max="16384" width="9" style="52"/>
  </cols>
  <sheetData>
    <row r="2" spans="2:8">
      <c r="B2" s="56" t="s">
        <v>154</v>
      </c>
      <c r="C2" s="55"/>
      <c r="D2" s="55"/>
      <c r="E2" s="55"/>
      <c r="F2" s="55"/>
      <c r="G2" s="55"/>
      <c r="H2" s="55"/>
    </row>
    <row r="3" spans="2:8">
      <c r="B3" s="57" t="s">
        <v>155</v>
      </c>
    </row>
    <row r="4" spans="2:8">
      <c r="C4" s="60" t="str">
        <f>"FY"&amp;YEAR(C5)</f>
        <v>FY2017</v>
      </c>
      <c r="D4" s="60" t="str">
        <f t="shared" ref="D4:H4" si="0">"FY"&amp;YEAR(D5)</f>
        <v>FY2018</v>
      </c>
      <c r="E4" s="60" t="str">
        <f t="shared" si="0"/>
        <v>FY2019</v>
      </c>
      <c r="F4" s="60" t="str">
        <f t="shared" si="0"/>
        <v>FY2020</v>
      </c>
      <c r="G4" s="60" t="str">
        <f t="shared" si="0"/>
        <v>FY2021</v>
      </c>
      <c r="H4" s="60" t="str">
        <f t="shared" si="0"/>
        <v>FY2022</v>
      </c>
    </row>
    <row r="5" spans="2:8">
      <c r="B5" s="54"/>
      <c r="C5" s="61">
        <v>42766</v>
      </c>
      <c r="D5" s="61">
        <f>EOMONTH(C5, 12)</f>
        <v>43131</v>
      </c>
      <c r="E5" s="61">
        <f t="shared" ref="E5:H5" si="1">EOMONTH(D5, 12)</f>
        <v>43496</v>
      </c>
      <c r="F5" s="61">
        <f t="shared" si="1"/>
        <v>43861</v>
      </c>
      <c r="G5" s="61">
        <f t="shared" si="1"/>
        <v>44227</v>
      </c>
      <c r="H5" s="61">
        <f t="shared" si="1"/>
        <v>44592</v>
      </c>
    </row>
    <row r="35" spans="1:4">
      <c r="A35" s="74"/>
      <c r="B35" s="74"/>
      <c r="C35" s="74"/>
      <c r="D35" s="74"/>
    </row>
    <row r="36" spans="1:4">
      <c r="A36" s="74"/>
      <c r="B36" s="198"/>
      <c r="C36" s="198"/>
      <c r="D36" s="74"/>
    </row>
    <row r="37" spans="1:4">
      <c r="A37" s="74"/>
      <c r="B37" s="74"/>
      <c r="C37" s="74"/>
      <c r="D37" s="74"/>
    </row>
    <row r="38" spans="1:4">
      <c r="A38" s="74"/>
      <c r="B38" s="74"/>
      <c r="C38" s="75"/>
      <c r="D38" s="74"/>
    </row>
    <row r="39" spans="1:4">
      <c r="A39" s="74"/>
      <c r="B39" s="74"/>
      <c r="C39" s="74"/>
      <c r="D39" s="74"/>
    </row>
    <row r="40" spans="1:4">
      <c r="A40" s="74"/>
      <c r="B40" s="74"/>
      <c r="C40" s="76"/>
      <c r="D40" s="74"/>
    </row>
    <row r="41" spans="1:4">
      <c r="A41" s="74"/>
      <c r="B41" s="74"/>
      <c r="C41" s="76"/>
      <c r="D41" s="74"/>
    </row>
    <row r="42" spans="1:4">
      <c r="A42" s="74"/>
      <c r="B42" s="74"/>
      <c r="C42" s="74"/>
      <c r="D42" s="74"/>
    </row>
    <row r="43" spans="1:4">
      <c r="A43" s="74"/>
      <c r="B43" s="74"/>
      <c r="C43" s="76"/>
      <c r="D43" s="74"/>
    </row>
    <row r="44" spans="1:4">
      <c r="A44" s="74"/>
      <c r="B44" s="74"/>
      <c r="C44" s="77"/>
      <c r="D44" s="74"/>
    </row>
    <row r="45" spans="1:4">
      <c r="A45" s="74"/>
      <c r="B45" s="74"/>
      <c r="C45" s="76"/>
      <c r="D45" s="74"/>
    </row>
    <row r="46" spans="1:4">
      <c r="A46" s="74"/>
      <c r="B46" s="74"/>
      <c r="C46" s="74"/>
      <c r="D46" s="74"/>
    </row>
    <row r="47" spans="1:4">
      <c r="A47" s="74"/>
      <c r="B47" s="74"/>
      <c r="C47" s="78"/>
      <c r="D47" s="74"/>
    </row>
    <row r="48" spans="1:4">
      <c r="A48" s="74"/>
      <c r="B48" s="74"/>
      <c r="C48" s="78"/>
      <c r="D48" s="74"/>
    </row>
    <row r="49" spans="1:4">
      <c r="A49" s="74"/>
      <c r="B49" s="74"/>
      <c r="C49" s="79"/>
      <c r="D49" s="74"/>
    </row>
    <row r="50" spans="1:4">
      <c r="A50" s="74"/>
      <c r="B50" s="74"/>
      <c r="C50" s="79"/>
      <c r="D50" s="74"/>
    </row>
    <row r="51" spans="1:4">
      <c r="A51" s="74"/>
      <c r="B51" s="74"/>
      <c r="C51" s="76"/>
      <c r="D51" s="74"/>
    </row>
    <row r="52" spans="1:4">
      <c r="A52" s="74"/>
      <c r="B52" s="74"/>
      <c r="C52" s="74"/>
      <c r="D52" s="74"/>
    </row>
    <row r="53" spans="1:4">
      <c r="A53" s="74"/>
      <c r="B53" s="74"/>
      <c r="C53" s="74"/>
      <c r="D53" s="74"/>
    </row>
    <row r="54" spans="1:4">
      <c r="A54" s="74"/>
      <c r="B54" s="74"/>
      <c r="C54" s="74"/>
      <c r="D54" s="74"/>
    </row>
    <row r="55" spans="1:4">
      <c r="A55" s="74"/>
      <c r="B55" s="74"/>
      <c r="C55" s="74"/>
      <c r="D55" s="74"/>
    </row>
    <row r="56" spans="1:4">
      <c r="A56" s="74"/>
      <c r="B56" s="74"/>
      <c r="C56" s="74"/>
      <c r="D56" s="74"/>
    </row>
  </sheetData>
  <mergeCells count="1">
    <mergeCell ref="B36:C3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003E-FE18-4B97-8DCC-B48071BE13FC}">
  <sheetPr>
    <tabColor theme="4"/>
  </sheetPr>
  <dimension ref="A1"/>
  <sheetViews>
    <sheetView workbookViewId="0"/>
  </sheetViews>
  <sheetFormatPr defaultColWidth="8.875"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0F5C-1C5E-44BE-BCD3-13A7AE38C89E}">
  <sheetPr>
    <tabColor theme="4"/>
    <outlinePr summaryBelow="0" summaryRight="0"/>
    <pageSetUpPr autoPageBreaks="0"/>
  </sheetPr>
  <dimension ref="A5:IU54"/>
  <sheetViews>
    <sheetView showGridLines="0" workbookViewId="0">
      <selection activeCell="L19" sqref="L19"/>
    </sheetView>
  </sheetViews>
  <sheetFormatPr defaultColWidth="9" defaultRowHeight="11.25"/>
  <cols>
    <col min="1" max="1" width="40.125" style="38" customWidth="1"/>
    <col min="2" max="7" width="13" style="38" customWidth="1"/>
    <col min="8" max="9" width="9" style="38"/>
    <col min="10" max="10" width="26.5" style="38" bestFit="1" customWidth="1"/>
    <col min="11" max="12" width="9" style="38"/>
    <col min="13" max="13" width="26.5" style="38" bestFit="1" customWidth="1"/>
    <col min="14" max="16384" width="9" style="38"/>
  </cols>
  <sheetData>
    <row r="5" spans="1:255" ht="15.75">
      <c r="A5" s="51" t="s">
        <v>106</v>
      </c>
    </row>
    <row r="7" spans="1:255">
      <c r="A7" s="42"/>
      <c r="B7" s="49" t="s">
        <v>105</v>
      </c>
      <c r="C7" s="38" t="s">
        <v>104</v>
      </c>
      <c r="D7" s="42" t="s">
        <v>88</v>
      </c>
      <c r="E7" s="49" t="s">
        <v>103</v>
      </c>
      <c r="F7" s="38" t="s">
        <v>102</v>
      </c>
    </row>
    <row r="8" spans="1:255">
      <c r="A8" s="42"/>
      <c r="B8" s="49" t="s">
        <v>101</v>
      </c>
      <c r="C8" s="38" t="s">
        <v>100</v>
      </c>
      <c r="D8" s="42" t="s">
        <v>88</v>
      </c>
      <c r="E8" s="49" t="s">
        <v>99</v>
      </c>
      <c r="F8" s="38" t="s">
        <v>98</v>
      </c>
    </row>
    <row r="9" spans="1:255">
      <c r="A9" s="42"/>
      <c r="B9" s="49" t="s">
        <v>97</v>
      </c>
      <c r="C9" s="38" t="s">
        <v>96</v>
      </c>
      <c r="D9" s="42" t="s">
        <v>88</v>
      </c>
      <c r="E9" s="49" t="s">
        <v>95</v>
      </c>
      <c r="F9" s="38" t="s">
        <v>38</v>
      </c>
    </row>
    <row r="10" spans="1:255">
      <c r="A10" s="42"/>
      <c r="B10" s="49" t="s">
        <v>94</v>
      </c>
      <c r="C10" s="38" t="s">
        <v>93</v>
      </c>
      <c r="D10" s="42" t="s">
        <v>88</v>
      </c>
      <c r="E10" s="49" t="s">
        <v>92</v>
      </c>
      <c r="F10" s="50" t="s">
        <v>91</v>
      </c>
    </row>
    <row r="11" spans="1:255">
      <c r="A11" s="42"/>
      <c r="B11" s="49" t="s">
        <v>90</v>
      </c>
      <c r="C11" s="38" t="s">
        <v>89</v>
      </c>
      <c r="D11" s="42" t="s">
        <v>88</v>
      </c>
      <c r="E11" s="48"/>
      <c r="F11" s="48"/>
    </row>
    <row r="14" spans="1:255">
      <c r="A14" s="47" t="s">
        <v>87</v>
      </c>
      <c r="B14" s="47"/>
      <c r="C14" s="47"/>
      <c r="D14" s="47"/>
      <c r="E14" s="47"/>
      <c r="F14" s="47"/>
      <c r="G14" s="47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ht="22.5">
      <c r="A15" s="86" t="s">
        <v>5</v>
      </c>
      <c r="B15" s="90" t="s">
        <v>86</v>
      </c>
      <c r="C15" s="90" t="s">
        <v>85</v>
      </c>
      <c r="D15" s="90" t="s">
        <v>84</v>
      </c>
      <c r="E15" s="90" t="s">
        <v>83</v>
      </c>
      <c r="F15" s="90" t="s">
        <v>1</v>
      </c>
      <c r="G15" s="90" t="s">
        <v>2</v>
      </c>
    </row>
    <row r="16" spans="1:255">
      <c r="A16" s="88" t="s">
        <v>6</v>
      </c>
      <c r="B16" s="89" t="s">
        <v>3</v>
      </c>
      <c r="C16" s="89" t="s">
        <v>3</v>
      </c>
      <c r="D16" s="89" t="s">
        <v>3</v>
      </c>
      <c r="E16" s="89" t="s">
        <v>3</v>
      </c>
      <c r="F16" s="89" t="s">
        <v>3</v>
      </c>
      <c r="G16" s="89" t="s">
        <v>3</v>
      </c>
    </row>
    <row r="17" spans="1:14">
      <c r="A17" s="86" t="s">
        <v>82</v>
      </c>
      <c r="B17" s="90" t="s">
        <v>81</v>
      </c>
      <c r="C17" s="90" t="s">
        <v>81</v>
      </c>
      <c r="D17" s="90" t="s">
        <v>81</v>
      </c>
      <c r="E17" s="90" t="s">
        <v>81</v>
      </c>
      <c r="F17" s="90" t="s">
        <v>81</v>
      </c>
      <c r="G17" s="90" t="s">
        <v>81</v>
      </c>
    </row>
    <row r="18" spans="1:14">
      <c r="A18" s="43" t="s">
        <v>80</v>
      </c>
      <c r="B18" s="42"/>
      <c r="C18" s="42"/>
      <c r="D18" s="42"/>
      <c r="E18" s="42"/>
      <c r="F18" s="42"/>
      <c r="G18" s="42"/>
    </row>
    <row r="19" spans="1:14">
      <c r="A19" s="42" t="s">
        <v>77</v>
      </c>
      <c r="B19" s="45">
        <v>638</v>
      </c>
      <c r="C19" s="45">
        <v>774</v>
      </c>
      <c r="D19" s="45">
        <v>869</v>
      </c>
      <c r="E19" s="45">
        <v>1055</v>
      </c>
      <c r="F19" s="45">
        <v>1276</v>
      </c>
      <c r="G19" s="45">
        <v>1835</v>
      </c>
    </row>
    <row r="20" spans="1:14">
      <c r="A20" s="42" t="s">
        <v>76</v>
      </c>
      <c r="B20" s="45">
        <v>7799</v>
      </c>
      <c r="C20" s="45">
        <v>9766</v>
      </c>
      <c r="D20" s="45">
        <v>12413</v>
      </c>
      <c r="E20" s="45">
        <v>16043</v>
      </c>
      <c r="F20" s="45">
        <v>19976</v>
      </c>
      <c r="G20" s="45">
        <v>24657</v>
      </c>
    </row>
    <row r="21" spans="1:14">
      <c r="A21" s="43" t="s">
        <v>79</v>
      </c>
      <c r="B21" s="44">
        <v>8437</v>
      </c>
      <c r="C21" s="44">
        <v>10540</v>
      </c>
      <c r="D21" s="44">
        <v>13282</v>
      </c>
      <c r="E21" s="44">
        <v>17098</v>
      </c>
      <c r="F21" s="44">
        <v>21252</v>
      </c>
      <c r="G21" s="44">
        <v>26492</v>
      </c>
    </row>
    <row r="22" spans="1:14">
      <c r="A22" s="42"/>
      <c r="B22" s="42"/>
      <c r="C22" s="42"/>
      <c r="D22" s="42"/>
      <c r="E22" s="42"/>
      <c r="F22" s="42"/>
      <c r="G22" s="42"/>
    </row>
    <row r="23" spans="1:14">
      <c r="A23" s="43" t="s">
        <v>78</v>
      </c>
      <c r="B23" s="42"/>
      <c r="C23" s="42"/>
      <c r="D23" s="42"/>
      <c r="E23" s="42"/>
      <c r="F23" s="42"/>
      <c r="G23" s="42"/>
    </row>
    <row r="24" spans="1:14" ht="15.75">
      <c r="A24" s="42" t="s">
        <v>77</v>
      </c>
      <c r="B24" s="44">
        <v>-617</v>
      </c>
      <c r="C24" s="44">
        <v>-740</v>
      </c>
      <c r="D24" s="44">
        <v>-847</v>
      </c>
      <c r="E24" s="44">
        <v>-1037</v>
      </c>
      <c r="F24" s="44">
        <v>-1284</v>
      </c>
      <c r="G24" s="44">
        <v>-1967</v>
      </c>
      <c r="H24"/>
      <c r="I24"/>
      <c r="J24"/>
      <c r="K24"/>
      <c r="L24"/>
      <c r="M24"/>
      <c r="N24"/>
    </row>
    <row r="25" spans="1:14" ht="15.75">
      <c r="A25" s="42" t="s">
        <v>76</v>
      </c>
      <c r="B25" s="44">
        <v>-1617</v>
      </c>
      <c r="C25" s="44">
        <v>-2033</v>
      </c>
      <c r="D25" s="44">
        <v>-2604</v>
      </c>
      <c r="E25" s="44">
        <v>-3198</v>
      </c>
      <c r="F25" s="44">
        <v>-4154</v>
      </c>
      <c r="G25" s="44">
        <v>-5059</v>
      </c>
      <c r="H25"/>
      <c r="I25"/>
      <c r="J25"/>
      <c r="K25"/>
      <c r="L25"/>
      <c r="M25"/>
      <c r="N25"/>
    </row>
    <row r="26" spans="1:14" ht="15.75">
      <c r="A26" s="42" t="s">
        <v>75</v>
      </c>
      <c r="B26" s="45">
        <v>-3811</v>
      </c>
      <c r="C26" s="45">
        <v>-4671</v>
      </c>
      <c r="D26" s="45">
        <v>-6064</v>
      </c>
      <c r="E26" s="45">
        <v>-7930</v>
      </c>
      <c r="F26" s="45">
        <v>-9674</v>
      </c>
      <c r="G26" s="45">
        <v>-11855</v>
      </c>
      <c r="H26"/>
      <c r="I26"/>
      <c r="J26"/>
      <c r="K26"/>
      <c r="L26"/>
      <c r="M26"/>
      <c r="N26"/>
    </row>
    <row r="27" spans="1:14" ht="15.75">
      <c r="A27" s="42" t="s">
        <v>74</v>
      </c>
      <c r="B27" s="45">
        <v>-966</v>
      </c>
      <c r="C27" s="45">
        <v>-1089</v>
      </c>
      <c r="D27" s="45">
        <v>-1346</v>
      </c>
      <c r="E27" s="45">
        <v>-1704</v>
      </c>
      <c r="F27" s="45">
        <v>-2087</v>
      </c>
      <c r="G27" s="45">
        <v>-2598</v>
      </c>
      <c r="H27"/>
      <c r="I27"/>
      <c r="J27"/>
      <c r="K27"/>
      <c r="L27"/>
      <c r="M27"/>
      <c r="N27"/>
    </row>
    <row r="28" spans="1:14" ht="15.75">
      <c r="A28" s="42" t="s">
        <v>73</v>
      </c>
      <c r="B28" s="45">
        <v>-1208</v>
      </c>
      <c r="C28" s="45">
        <v>-1553</v>
      </c>
      <c r="D28" s="45">
        <v>-1886</v>
      </c>
      <c r="E28" s="45">
        <v>-2766</v>
      </c>
      <c r="F28" s="45">
        <v>-3598</v>
      </c>
      <c r="G28" s="45">
        <v>-4465</v>
      </c>
      <c r="H28"/>
      <c r="I28"/>
      <c r="J28"/>
      <c r="K28"/>
      <c r="L28"/>
      <c r="M28"/>
      <c r="N28"/>
    </row>
    <row r="29" spans="1:14" ht="15.75">
      <c r="A29" s="42" t="s">
        <v>72</v>
      </c>
      <c r="B29" s="45">
        <v>-89</v>
      </c>
      <c r="C29" s="45" t="s">
        <v>4</v>
      </c>
      <c r="D29" s="45" t="s">
        <v>4</v>
      </c>
      <c r="E29" s="45" t="s">
        <v>4</v>
      </c>
      <c r="F29" s="45" t="s">
        <v>4</v>
      </c>
      <c r="G29" s="45" t="s">
        <v>4</v>
      </c>
      <c r="H29"/>
      <c r="I29"/>
      <c r="J29"/>
      <c r="K29"/>
      <c r="L29"/>
      <c r="M29"/>
      <c r="N29"/>
    </row>
    <row r="30" spans="1:14" ht="15.75">
      <c r="A30" s="42" t="s">
        <v>71</v>
      </c>
      <c r="B30" s="45">
        <v>27</v>
      </c>
      <c r="C30" s="45" t="s">
        <v>4</v>
      </c>
      <c r="D30" s="45" t="s">
        <v>4</v>
      </c>
      <c r="E30" s="45" t="s">
        <v>4</v>
      </c>
      <c r="F30" s="45" t="s">
        <v>4</v>
      </c>
      <c r="G30" s="45" t="s">
        <v>4</v>
      </c>
      <c r="H30"/>
      <c r="I30"/>
      <c r="J30"/>
      <c r="K30"/>
      <c r="L30"/>
      <c r="M30"/>
      <c r="N30"/>
    </row>
    <row r="31" spans="1:14" ht="15.75">
      <c r="A31" s="42" t="s">
        <v>70</v>
      </c>
      <c r="B31" s="45">
        <v>31</v>
      </c>
      <c r="C31" s="45">
        <v>19</v>
      </c>
      <c r="D31" s="45">
        <v>542</v>
      </c>
      <c r="E31" s="45">
        <v>427</v>
      </c>
      <c r="F31" s="45">
        <v>2170</v>
      </c>
      <c r="G31" s="45">
        <v>1211</v>
      </c>
      <c r="H31"/>
      <c r="I31"/>
      <c r="J31"/>
      <c r="K31"/>
      <c r="L31"/>
      <c r="M31"/>
      <c r="N31"/>
    </row>
    <row r="32" spans="1:14" ht="15.75">
      <c r="A32" s="42" t="s">
        <v>69</v>
      </c>
      <c r="B32" s="45" t="s">
        <v>4</v>
      </c>
      <c r="C32" s="45" t="s">
        <v>4</v>
      </c>
      <c r="D32" s="45" t="s">
        <v>4</v>
      </c>
      <c r="E32" s="45">
        <v>-166</v>
      </c>
      <c r="F32" s="45" t="s">
        <v>4</v>
      </c>
      <c r="G32" s="45" t="s">
        <v>4</v>
      </c>
      <c r="H32"/>
      <c r="I32"/>
      <c r="J32"/>
      <c r="K32"/>
      <c r="L32"/>
      <c r="M32"/>
      <c r="N32"/>
    </row>
    <row r="33" spans="1:14" ht="15.75">
      <c r="A33" s="42" t="s">
        <v>68</v>
      </c>
      <c r="B33" s="45">
        <v>-8</v>
      </c>
      <c r="C33" s="45">
        <v>-53</v>
      </c>
      <c r="D33" s="45">
        <v>-94</v>
      </c>
      <c r="E33" s="45">
        <v>-18</v>
      </c>
      <c r="F33" s="45">
        <v>-64</v>
      </c>
      <c r="G33" s="45">
        <v>-227</v>
      </c>
      <c r="H33"/>
      <c r="I33"/>
      <c r="J33"/>
      <c r="K33"/>
      <c r="L33"/>
      <c r="M33"/>
      <c r="N33"/>
    </row>
    <row r="34" spans="1:14" ht="15.75">
      <c r="A34" s="43" t="s">
        <v>67</v>
      </c>
      <c r="B34" s="44">
        <v>179</v>
      </c>
      <c r="C34" s="44">
        <v>420</v>
      </c>
      <c r="D34" s="44">
        <v>983</v>
      </c>
      <c r="E34" s="44">
        <v>706</v>
      </c>
      <c r="F34" s="44">
        <v>2561</v>
      </c>
      <c r="G34" s="44">
        <v>1532</v>
      </c>
      <c r="H34"/>
      <c r="I34"/>
      <c r="J34"/>
      <c r="K34"/>
      <c r="L34"/>
      <c r="M34"/>
      <c r="N34"/>
    </row>
    <row r="35" spans="1:14" ht="15.75">
      <c r="A35" s="42"/>
      <c r="B35" s="42"/>
      <c r="C35" s="42"/>
      <c r="D35" s="42"/>
      <c r="E35" s="42"/>
      <c r="F35" s="42"/>
      <c r="G35" s="42"/>
      <c r="H35"/>
      <c r="I35"/>
      <c r="J35"/>
      <c r="K35"/>
      <c r="L35"/>
      <c r="M35"/>
      <c r="N35"/>
    </row>
    <row r="36" spans="1:14" ht="15.75">
      <c r="A36" s="43" t="s">
        <v>66</v>
      </c>
      <c r="B36" s="42"/>
      <c r="C36" s="42"/>
      <c r="D36" s="42"/>
      <c r="E36" s="42"/>
      <c r="F36" s="42"/>
      <c r="G36" s="42"/>
      <c r="H36"/>
      <c r="I36"/>
      <c r="J36"/>
      <c r="K36"/>
      <c r="L36"/>
      <c r="M36"/>
      <c r="N36"/>
    </row>
    <row r="37" spans="1:14" ht="15.75">
      <c r="A37" s="42" t="s">
        <v>65</v>
      </c>
      <c r="B37" s="45">
        <v>144</v>
      </c>
      <c r="C37" s="45">
        <v>-60</v>
      </c>
      <c r="D37" s="45">
        <v>127</v>
      </c>
      <c r="E37" s="45">
        <v>-580</v>
      </c>
      <c r="F37" s="45">
        <v>1511</v>
      </c>
      <c r="G37" s="45">
        <v>-88</v>
      </c>
      <c r="H37"/>
      <c r="I37"/>
      <c r="J37"/>
      <c r="K37"/>
      <c r="L37"/>
      <c r="M37"/>
      <c r="N37"/>
    </row>
    <row r="38" spans="1:14" ht="15.75">
      <c r="A38" s="43" t="s">
        <v>64</v>
      </c>
      <c r="B38" s="44">
        <v>323</v>
      </c>
      <c r="C38" s="44">
        <v>360</v>
      </c>
      <c r="D38" s="44">
        <v>1110</v>
      </c>
      <c r="E38" s="44">
        <v>126</v>
      </c>
      <c r="F38" s="44">
        <v>4072</v>
      </c>
      <c r="G38" s="44">
        <v>1444</v>
      </c>
      <c r="H38"/>
      <c r="I38"/>
      <c r="J38"/>
      <c r="K38"/>
      <c r="L38"/>
      <c r="M38"/>
      <c r="N38"/>
    </row>
    <row r="39" spans="1:14" ht="15.75">
      <c r="A39" s="42"/>
      <c r="B39" s="42"/>
      <c r="C39" s="42"/>
      <c r="D39" s="42"/>
      <c r="E39" s="42"/>
      <c r="F39" s="42"/>
      <c r="G39" s="42"/>
      <c r="H39"/>
      <c r="I39"/>
      <c r="J39"/>
      <c r="K39"/>
      <c r="L39"/>
      <c r="M39"/>
      <c r="N39"/>
    </row>
    <row r="40" spans="1:14" ht="15.75">
      <c r="A40" s="43" t="s">
        <v>63</v>
      </c>
      <c r="B40" s="42"/>
      <c r="C40" s="42"/>
      <c r="D40" s="42"/>
      <c r="E40" s="42"/>
      <c r="F40" s="42"/>
      <c r="G40" s="42"/>
      <c r="H40"/>
      <c r="I40"/>
      <c r="J40"/>
      <c r="K40"/>
      <c r="L40"/>
      <c r="M40"/>
      <c r="N40"/>
    </row>
    <row r="41" spans="1:14" ht="11.25" customHeight="1">
      <c r="A41" s="42" t="s">
        <v>62</v>
      </c>
      <c r="B41" s="41">
        <v>6203</v>
      </c>
      <c r="C41" s="41">
        <v>7767</v>
      </c>
      <c r="D41" s="41">
        <v>9831</v>
      </c>
      <c r="E41" s="41">
        <v>12863</v>
      </c>
      <c r="F41" s="41">
        <v>15814</v>
      </c>
      <c r="G41" s="41">
        <v>19466</v>
      </c>
      <c r="H41"/>
      <c r="I41"/>
      <c r="J41"/>
      <c r="K41"/>
      <c r="L41"/>
      <c r="M41"/>
      <c r="N41"/>
    </row>
    <row r="42" spans="1:14" ht="11.25" customHeight="1">
      <c r="A42" s="42" t="s">
        <v>61</v>
      </c>
      <c r="B42" s="41">
        <v>218</v>
      </c>
      <c r="C42" s="41">
        <v>454</v>
      </c>
      <c r="D42" s="41">
        <v>535</v>
      </c>
      <c r="E42" s="41">
        <v>297</v>
      </c>
      <c r="F42" s="41">
        <v>455</v>
      </c>
      <c r="G42" s="41">
        <v>548</v>
      </c>
      <c r="H42"/>
      <c r="I42"/>
      <c r="J42"/>
      <c r="K42"/>
      <c r="L42"/>
      <c r="M42"/>
      <c r="N42"/>
    </row>
    <row r="43" spans="1:14" ht="15.75">
      <c r="A43" s="42" t="s">
        <v>60</v>
      </c>
      <c r="B43" s="41">
        <v>0.47</v>
      </c>
      <c r="C43" s="41">
        <v>0.5</v>
      </c>
      <c r="D43" s="41">
        <v>1.48</v>
      </c>
      <c r="E43" s="41">
        <v>0.15</v>
      </c>
      <c r="F43" s="41">
        <v>4.4800000000000004</v>
      </c>
      <c r="G43" s="41">
        <v>1.51</v>
      </c>
      <c r="H43"/>
      <c r="I43"/>
      <c r="J43"/>
      <c r="K43"/>
      <c r="L43"/>
      <c r="M43"/>
      <c r="N43"/>
    </row>
    <row r="44" spans="1:14" ht="15.75">
      <c r="A44" s="42" t="s">
        <v>59</v>
      </c>
      <c r="B44" s="41">
        <v>0.46</v>
      </c>
      <c r="C44" s="41">
        <v>0.49</v>
      </c>
      <c r="D44" s="41">
        <v>1.43</v>
      </c>
      <c r="E44" s="41">
        <v>0.15</v>
      </c>
      <c r="F44" s="41">
        <v>4.38</v>
      </c>
      <c r="G44" s="41">
        <v>1.48</v>
      </c>
      <c r="H44"/>
      <c r="I44"/>
      <c r="J44"/>
      <c r="K44"/>
      <c r="L44"/>
      <c r="M44"/>
      <c r="N44"/>
    </row>
    <row r="45" spans="1:14" ht="15.75">
      <c r="A45" s="40"/>
      <c r="B45" s="40"/>
      <c r="C45" s="40"/>
      <c r="D45" s="40"/>
      <c r="E45" s="40"/>
      <c r="F45" s="40"/>
      <c r="G45" s="40"/>
      <c r="H45"/>
      <c r="I45"/>
      <c r="J45"/>
      <c r="K45"/>
      <c r="L45"/>
      <c r="M45"/>
      <c r="N45"/>
    </row>
    <row r="46" spans="1:14" ht="15.75">
      <c r="A46" s="38" t="s">
        <v>58</v>
      </c>
      <c r="H46"/>
      <c r="I46"/>
      <c r="J46"/>
      <c r="K46"/>
      <c r="L46"/>
      <c r="M46"/>
      <c r="N46"/>
    </row>
    <row r="47" spans="1:14" ht="15.75">
      <c r="A47" s="39" t="s">
        <v>57</v>
      </c>
      <c r="H47"/>
      <c r="I47"/>
      <c r="J47"/>
      <c r="K47"/>
      <c r="L47"/>
      <c r="M47"/>
      <c r="N47"/>
    </row>
    <row r="49" spans="1:7" ht="12.75">
      <c r="A49" s="81" t="s">
        <v>166</v>
      </c>
      <c r="B49" s="80">
        <v>712.91</v>
      </c>
      <c r="C49" s="80">
        <v>867</v>
      </c>
      <c r="D49" s="80">
        <v>1122</v>
      </c>
      <c r="E49" s="80">
        <v>1581</v>
      </c>
      <c r="F49" s="80">
        <v>1949</v>
      </c>
      <c r="G49" s="80">
        <v>2393</v>
      </c>
    </row>
    <row r="50" spans="1:7" ht="12.75">
      <c r="A50" s="81" t="s">
        <v>165</v>
      </c>
      <c r="B50" s="80">
        <v>97.600999999999985</v>
      </c>
      <c r="C50" s="80">
        <v>121</v>
      </c>
      <c r="D50" s="80">
        <v>232</v>
      </c>
      <c r="E50" s="80">
        <v>352</v>
      </c>
      <c r="F50" s="80">
        <v>459</v>
      </c>
      <c r="G50" s="80">
        <v>727</v>
      </c>
    </row>
    <row r="53" spans="1:7" ht="12.75">
      <c r="A53" s="81" t="s">
        <v>283</v>
      </c>
      <c r="C53" s="160">
        <v>-373</v>
      </c>
      <c r="D53" s="160">
        <v>-411</v>
      </c>
      <c r="E53" s="160">
        <v>-455</v>
      </c>
      <c r="F53" s="160">
        <v>-579</v>
      </c>
      <c r="G53" s="160">
        <v>-678</v>
      </c>
    </row>
    <row r="54" spans="1:7">
      <c r="A54" s="81" t="s">
        <v>284</v>
      </c>
      <c r="C54" s="161">
        <f>-C53/C21</f>
        <v>3.5388994307400383E-2</v>
      </c>
      <c r="D54" s="161">
        <f>-D53/D21</f>
        <v>3.0944134919439842E-2</v>
      </c>
      <c r="E54" s="161">
        <f>-E53/E21</f>
        <v>2.6611299567200843E-2</v>
      </c>
      <c r="F54" s="161">
        <f>-F53/F21</f>
        <v>2.7244494635798984E-2</v>
      </c>
      <c r="G54" s="161">
        <f>-G53/G21</f>
        <v>2.5592631737883134E-2</v>
      </c>
    </row>
  </sheetData>
  <pageMargins left="0.2" right="0.2" top="0.5" bottom="0.5" header="0.5" footer="0.5"/>
  <pageSetup fitToWidth="0" fitToHeight="0"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1C2D-1BA4-4CD6-AC1A-8A091801FDBF}">
  <sheetPr>
    <tabColor theme="4"/>
    <outlinePr summaryBelow="0" summaryRight="0"/>
    <pageSetUpPr autoPageBreaks="0"/>
  </sheetPr>
  <dimension ref="A5:IU66"/>
  <sheetViews>
    <sheetView showGridLines="0" topLeftCell="A20" workbookViewId="0">
      <selection activeCell="G19" sqref="G19:G21"/>
    </sheetView>
  </sheetViews>
  <sheetFormatPr defaultColWidth="8.875" defaultRowHeight="11.25"/>
  <cols>
    <col min="1" max="1" width="40.125" style="38" customWidth="1"/>
    <col min="2" max="7" width="13" style="38" customWidth="1"/>
    <col min="8" max="256" width="9" style="38"/>
    <col min="257" max="257" width="40.125" style="38" customWidth="1"/>
    <col min="258" max="263" width="13" style="38" customWidth="1"/>
    <col min="264" max="512" width="9" style="38"/>
    <col min="513" max="513" width="40.125" style="38" customWidth="1"/>
    <col min="514" max="519" width="13" style="38" customWidth="1"/>
    <col min="520" max="768" width="9" style="38"/>
    <col min="769" max="769" width="40.125" style="38" customWidth="1"/>
    <col min="770" max="775" width="13" style="38" customWidth="1"/>
    <col min="776" max="1024" width="9" style="38"/>
    <col min="1025" max="1025" width="40.125" style="38" customWidth="1"/>
    <col min="1026" max="1031" width="13" style="38" customWidth="1"/>
    <col min="1032" max="1280" width="9" style="38"/>
    <col min="1281" max="1281" width="40.125" style="38" customWidth="1"/>
    <col min="1282" max="1287" width="13" style="38" customWidth="1"/>
    <col min="1288" max="1536" width="9" style="38"/>
    <col min="1537" max="1537" width="40.125" style="38" customWidth="1"/>
    <col min="1538" max="1543" width="13" style="38" customWidth="1"/>
    <col min="1544" max="1792" width="9" style="38"/>
    <col min="1793" max="1793" width="40.125" style="38" customWidth="1"/>
    <col min="1794" max="1799" width="13" style="38" customWidth="1"/>
    <col min="1800" max="2048" width="9" style="38"/>
    <col min="2049" max="2049" width="40.125" style="38" customWidth="1"/>
    <col min="2050" max="2055" width="13" style="38" customWidth="1"/>
    <col min="2056" max="2304" width="9" style="38"/>
    <col min="2305" max="2305" width="40.125" style="38" customWidth="1"/>
    <col min="2306" max="2311" width="13" style="38" customWidth="1"/>
    <col min="2312" max="2560" width="9" style="38"/>
    <col min="2561" max="2561" width="40.125" style="38" customWidth="1"/>
    <col min="2562" max="2567" width="13" style="38" customWidth="1"/>
    <col min="2568" max="2816" width="9" style="38"/>
    <col min="2817" max="2817" width="40.125" style="38" customWidth="1"/>
    <col min="2818" max="2823" width="13" style="38" customWidth="1"/>
    <col min="2824" max="3072" width="9" style="38"/>
    <col min="3073" max="3073" width="40.125" style="38" customWidth="1"/>
    <col min="3074" max="3079" width="13" style="38" customWidth="1"/>
    <col min="3080" max="3328" width="9" style="38"/>
    <col min="3329" max="3329" width="40.125" style="38" customWidth="1"/>
    <col min="3330" max="3335" width="13" style="38" customWidth="1"/>
    <col min="3336" max="3584" width="9" style="38"/>
    <col min="3585" max="3585" width="40.125" style="38" customWidth="1"/>
    <col min="3586" max="3591" width="13" style="38" customWidth="1"/>
    <col min="3592" max="3840" width="9" style="38"/>
    <col min="3841" max="3841" width="40.125" style="38" customWidth="1"/>
    <col min="3842" max="3847" width="13" style="38" customWidth="1"/>
    <col min="3848" max="4096" width="9" style="38"/>
    <col min="4097" max="4097" width="40.125" style="38" customWidth="1"/>
    <col min="4098" max="4103" width="13" style="38" customWidth="1"/>
    <col min="4104" max="4352" width="9" style="38"/>
    <col min="4353" max="4353" width="40.125" style="38" customWidth="1"/>
    <col min="4354" max="4359" width="13" style="38" customWidth="1"/>
    <col min="4360" max="4608" width="9" style="38"/>
    <col min="4609" max="4609" width="40.125" style="38" customWidth="1"/>
    <col min="4610" max="4615" width="13" style="38" customWidth="1"/>
    <col min="4616" max="4864" width="9" style="38"/>
    <col min="4865" max="4865" width="40.125" style="38" customWidth="1"/>
    <col min="4866" max="4871" width="13" style="38" customWidth="1"/>
    <col min="4872" max="5120" width="9" style="38"/>
    <col min="5121" max="5121" width="40.125" style="38" customWidth="1"/>
    <col min="5122" max="5127" width="13" style="38" customWidth="1"/>
    <col min="5128" max="5376" width="9" style="38"/>
    <col min="5377" max="5377" width="40.125" style="38" customWidth="1"/>
    <col min="5378" max="5383" width="13" style="38" customWidth="1"/>
    <col min="5384" max="5632" width="9" style="38"/>
    <col min="5633" max="5633" width="40.125" style="38" customWidth="1"/>
    <col min="5634" max="5639" width="13" style="38" customWidth="1"/>
    <col min="5640" max="5888" width="9" style="38"/>
    <col min="5889" max="5889" width="40.125" style="38" customWidth="1"/>
    <col min="5890" max="5895" width="13" style="38" customWidth="1"/>
    <col min="5896" max="6144" width="9" style="38"/>
    <col min="6145" max="6145" width="40.125" style="38" customWidth="1"/>
    <col min="6146" max="6151" width="13" style="38" customWidth="1"/>
    <col min="6152" max="6400" width="9" style="38"/>
    <col min="6401" max="6401" width="40.125" style="38" customWidth="1"/>
    <col min="6402" max="6407" width="13" style="38" customWidth="1"/>
    <col min="6408" max="6656" width="9" style="38"/>
    <col min="6657" max="6657" width="40.125" style="38" customWidth="1"/>
    <col min="6658" max="6663" width="13" style="38" customWidth="1"/>
    <col min="6664" max="6912" width="9" style="38"/>
    <col min="6913" max="6913" width="40.125" style="38" customWidth="1"/>
    <col min="6914" max="6919" width="13" style="38" customWidth="1"/>
    <col min="6920" max="7168" width="9" style="38"/>
    <col min="7169" max="7169" width="40.125" style="38" customWidth="1"/>
    <col min="7170" max="7175" width="13" style="38" customWidth="1"/>
    <col min="7176" max="7424" width="9" style="38"/>
    <col min="7425" max="7425" width="40.125" style="38" customWidth="1"/>
    <col min="7426" max="7431" width="13" style="38" customWidth="1"/>
    <col min="7432" max="7680" width="9" style="38"/>
    <col min="7681" max="7681" width="40.125" style="38" customWidth="1"/>
    <col min="7682" max="7687" width="13" style="38" customWidth="1"/>
    <col min="7688" max="7936" width="9" style="38"/>
    <col min="7937" max="7937" width="40.125" style="38" customWidth="1"/>
    <col min="7938" max="7943" width="13" style="38" customWidth="1"/>
    <col min="7944" max="8192" width="9" style="38"/>
    <col min="8193" max="8193" width="40.125" style="38" customWidth="1"/>
    <col min="8194" max="8199" width="13" style="38" customWidth="1"/>
    <col min="8200" max="8448" width="9" style="38"/>
    <col min="8449" max="8449" width="40.125" style="38" customWidth="1"/>
    <col min="8450" max="8455" width="13" style="38" customWidth="1"/>
    <col min="8456" max="8704" width="9" style="38"/>
    <col min="8705" max="8705" width="40.125" style="38" customWidth="1"/>
    <col min="8706" max="8711" width="13" style="38" customWidth="1"/>
    <col min="8712" max="8960" width="9" style="38"/>
    <col min="8961" max="8961" width="40.125" style="38" customWidth="1"/>
    <col min="8962" max="8967" width="13" style="38" customWidth="1"/>
    <col min="8968" max="9216" width="9" style="38"/>
    <col min="9217" max="9217" width="40.125" style="38" customWidth="1"/>
    <col min="9218" max="9223" width="13" style="38" customWidth="1"/>
    <col min="9224" max="9472" width="9" style="38"/>
    <col min="9473" max="9473" width="40.125" style="38" customWidth="1"/>
    <col min="9474" max="9479" width="13" style="38" customWidth="1"/>
    <col min="9480" max="9728" width="9" style="38"/>
    <col min="9729" max="9729" width="40.125" style="38" customWidth="1"/>
    <col min="9730" max="9735" width="13" style="38" customWidth="1"/>
    <col min="9736" max="9984" width="9" style="38"/>
    <col min="9985" max="9985" width="40.125" style="38" customWidth="1"/>
    <col min="9986" max="9991" width="13" style="38" customWidth="1"/>
    <col min="9992" max="10240" width="9" style="38"/>
    <col min="10241" max="10241" width="40.125" style="38" customWidth="1"/>
    <col min="10242" max="10247" width="13" style="38" customWidth="1"/>
    <col min="10248" max="10496" width="9" style="38"/>
    <col min="10497" max="10497" width="40.125" style="38" customWidth="1"/>
    <col min="10498" max="10503" width="13" style="38" customWidth="1"/>
    <col min="10504" max="10752" width="9" style="38"/>
    <col min="10753" max="10753" width="40.125" style="38" customWidth="1"/>
    <col min="10754" max="10759" width="13" style="38" customWidth="1"/>
    <col min="10760" max="11008" width="9" style="38"/>
    <col min="11009" max="11009" width="40.125" style="38" customWidth="1"/>
    <col min="11010" max="11015" width="13" style="38" customWidth="1"/>
    <col min="11016" max="11264" width="9" style="38"/>
    <col min="11265" max="11265" width="40.125" style="38" customWidth="1"/>
    <col min="11266" max="11271" width="13" style="38" customWidth="1"/>
    <col min="11272" max="11520" width="9" style="38"/>
    <col min="11521" max="11521" width="40.125" style="38" customWidth="1"/>
    <col min="11522" max="11527" width="13" style="38" customWidth="1"/>
    <col min="11528" max="11776" width="9" style="38"/>
    <col min="11777" max="11777" width="40.125" style="38" customWidth="1"/>
    <col min="11778" max="11783" width="13" style="38" customWidth="1"/>
    <col min="11784" max="12032" width="9" style="38"/>
    <col min="12033" max="12033" width="40.125" style="38" customWidth="1"/>
    <col min="12034" max="12039" width="13" style="38" customWidth="1"/>
    <col min="12040" max="12288" width="9" style="38"/>
    <col min="12289" max="12289" width="40.125" style="38" customWidth="1"/>
    <col min="12290" max="12295" width="13" style="38" customWidth="1"/>
    <col min="12296" max="12544" width="9" style="38"/>
    <col min="12545" max="12545" width="40.125" style="38" customWidth="1"/>
    <col min="12546" max="12551" width="13" style="38" customWidth="1"/>
    <col min="12552" max="12800" width="9" style="38"/>
    <col min="12801" max="12801" width="40.125" style="38" customWidth="1"/>
    <col min="12802" max="12807" width="13" style="38" customWidth="1"/>
    <col min="12808" max="13056" width="9" style="38"/>
    <col min="13057" max="13057" width="40.125" style="38" customWidth="1"/>
    <col min="13058" max="13063" width="13" style="38" customWidth="1"/>
    <col min="13064" max="13312" width="9" style="38"/>
    <col min="13313" max="13313" width="40.125" style="38" customWidth="1"/>
    <col min="13314" max="13319" width="13" style="38" customWidth="1"/>
    <col min="13320" max="13568" width="9" style="38"/>
    <col min="13569" max="13569" width="40.125" style="38" customWidth="1"/>
    <col min="13570" max="13575" width="13" style="38" customWidth="1"/>
    <col min="13576" max="13824" width="9" style="38"/>
    <col min="13825" max="13825" width="40.125" style="38" customWidth="1"/>
    <col min="13826" max="13831" width="13" style="38" customWidth="1"/>
    <col min="13832" max="14080" width="9" style="38"/>
    <col min="14081" max="14081" width="40.125" style="38" customWidth="1"/>
    <col min="14082" max="14087" width="13" style="38" customWidth="1"/>
    <col min="14088" max="14336" width="9" style="38"/>
    <col min="14337" max="14337" width="40.125" style="38" customWidth="1"/>
    <col min="14338" max="14343" width="13" style="38" customWidth="1"/>
    <col min="14344" max="14592" width="9" style="38"/>
    <col min="14593" max="14593" width="40.125" style="38" customWidth="1"/>
    <col min="14594" max="14599" width="13" style="38" customWidth="1"/>
    <col min="14600" max="14848" width="9" style="38"/>
    <col min="14849" max="14849" width="40.125" style="38" customWidth="1"/>
    <col min="14850" max="14855" width="13" style="38" customWidth="1"/>
    <col min="14856" max="15104" width="9" style="38"/>
    <col min="15105" max="15105" width="40.125" style="38" customWidth="1"/>
    <col min="15106" max="15111" width="13" style="38" customWidth="1"/>
    <col min="15112" max="15360" width="9" style="38"/>
    <col min="15361" max="15361" width="40.125" style="38" customWidth="1"/>
    <col min="15362" max="15367" width="13" style="38" customWidth="1"/>
    <col min="15368" max="15616" width="9" style="38"/>
    <col min="15617" max="15617" width="40.125" style="38" customWidth="1"/>
    <col min="15618" max="15623" width="13" style="38" customWidth="1"/>
    <col min="15624" max="15872" width="9" style="38"/>
    <col min="15873" max="15873" width="40.125" style="38" customWidth="1"/>
    <col min="15874" max="15879" width="13" style="38" customWidth="1"/>
    <col min="15880" max="16128" width="9" style="38"/>
    <col min="16129" max="16129" width="40.125" style="38" customWidth="1"/>
    <col min="16130" max="16135" width="13" style="38" customWidth="1"/>
    <col min="16136" max="16384" width="9" style="38"/>
  </cols>
  <sheetData>
    <row r="5" spans="1:255" ht="15.75">
      <c r="A5" s="51" t="s">
        <v>107</v>
      </c>
    </row>
    <row r="7" spans="1:255">
      <c r="A7" s="42"/>
      <c r="B7" s="49" t="s">
        <v>105</v>
      </c>
      <c r="C7" s="38" t="s">
        <v>104</v>
      </c>
      <c r="D7" s="42" t="s">
        <v>88</v>
      </c>
      <c r="E7" s="49" t="s">
        <v>103</v>
      </c>
      <c r="F7" s="38" t="s">
        <v>102</v>
      </c>
    </row>
    <row r="8" spans="1:255">
      <c r="A8" s="42"/>
      <c r="B8" s="49" t="s">
        <v>101</v>
      </c>
      <c r="C8" s="38" t="s">
        <v>100</v>
      </c>
      <c r="D8" s="42" t="s">
        <v>88</v>
      </c>
      <c r="E8" s="49" t="s">
        <v>99</v>
      </c>
      <c r="F8" s="38" t="s">
        <v>98</v>
      </c>
    </row>
    <row r="9" spans="1:255">
      <c r="A9" s="42"/>
      <c r="B9" s="49" t="s">
        <v>97</v>
      </c>
      <c r="C9" s="38" t="s">
        <v>96</v>
      </c>
      <c r="D9" s="42" t="s">
        <v>88</v>
      </c>
      <c r="E9" s="49" t="s">
        <v>95</v>
      </c>
      <c r="F9" s="38" t="s">
        <v>38</v>
      </c>
    </row>
    <row r="10" spans="1:255">
      <c r="A10" s="42"/>
      <c r="B10" s="49" t="s">
        <v>94</v>
      </c>
      <c r="C10" s="38" t="s">
        <v>93</v>
      </c>
      <c r="D10" s="42" t="s">
        <v>88</v>
      </c>
      <c r="E10" s="49" t="s">
        <v>92</v>
      </c>
      <c r="F10" s="50" t="s">
        <v>91</v>
      </c>
    </row>
    <row r="11" spans="1:255">
      <c r="A11" s="42"/>
      <c r="B11" s="49" t="s">
        <v>90</v>
      </c>
      <c r="C11" s="38" t="s">
        <v>89</v>
      </c>
      <c r="D11" s="42" t="s">
        <v>88</v>
      </c>
      <c r="E11" s="48"/>
      <c r="F11" s="48"/>
    </row>
    <row r="14" spans="1:255">
      <c r="A14" s="47" t="s">
        <v>108</v>
      </c>
      <c r="B14" s="47"/>
      <c r="C14" s="47"/>
      <c r="D14" s="47"/>
      <c r="E14" s="47"/>
      <c r="F14" s="47"/>
      <c r="G14" s="47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ht="22.5">
      <c r="A15" s="86" t="s">
        <v>109</v>
      </c>
      <c r="B15" s="87">
        <v>42766</v>
      </c>
      <c r="C15" s="87">
        <v>43131</v>
      </c>
      <c r="D15" s="87">
        <v>43496</v>
      </c>
      <c r="E15" s="87">
        <v>43861</v>
      </c>
      <c r="F15" s="87">
        <v>44227</v>
      </c>
      <c r="G15" s="87">
        <v>44592</v>
      </c>
    </row>
    <row r="16" spans="1:255">
      <c r="A16" s="88" t="s">
        <v>6</v>
      </c>
      <c r="B16" s="89" t="s">
        <v>3</v>
      </c>
      <c r="C16" s="89" t="s">
        <v>3</v>
      </c>
      <c r="D16" s="89" t="s">
        <v>3</v>
      </c>
      <c r="E16" s="89" t="s">
        <v>3</v>
      </c>
      <c r="F16" s="89" t="s">
        <v>3</v>
      </c>
      <c r="G16" s="89" t="s">
        <v>3</v>
      </c>
    </row>
    <row r="17" spans="1:7">
      <c r="A17" s="86" t="s">
        <v>82</v>
      </c>
      <c r="B17" s="90" t="s">
        <v>110</v>
      </c>
      <c r="C17" s="90" t="s">
        <v>81</v>
      </c>
      <c r="D17" s="90" t="s">
        <v>81</v>
      </c>
      <c r="E17" s="90" t="s">
        <v>81</v>
      </c>
      <c r="F17" s="90" t="s">
        <v>81</v>
      </c>
      <c r="G17" s="90" t="s">
        <v>81</v>
      </c>
    </row>
    <row r="18" spans="1:7">
      <c r="A18" s="43" t="s">
        <v>111</v>
      </c>
      <c r="B18" s="42"/>
      <c r="C18" s="42"/>
      <c r="D18" s="42"/>
      <c r="E18" s="42"/>
      <c r="F18" s="42"/>
      <c r="G18" s="42"/>
    </row>
    <row r="19" spans="1:7">
      <c r="A19" s="42" t="s">
        <v>112</v>
      </c>
      <c r="B19" s="45">
        <v>1606549</v>
      </c>
      <c r="C19" s="45">
        <v>2543</v>
      </c>
      <c r="D19" s="45">
        <v>2669</v>
      </c>
      <c r="E19" s="45">
        <v>4145</v>
      </c>
      <c r="F19" s="45">
        <v>6195</v>
      </c>
      <c r="G19" s="45">
        <v>5464</v>
      </c>
    </row>
    <row r="20" spans="1:7">
      <c r="A20" s="42" t="s">
        <v>113</v>
      </c>
      <c r="B20" s="45">
        <v>602338</v>
      </c>
      <c r="C20" s="45">
        <v>1978</v>
      </c>
      <c r="D20" s="45">
        <v>1673</v>
      </c>
      <c r="E20" s="45">
        <v>3802</v>
      </c>
      <c r="F20" s="45">
        <v>5771</v>
      </c>
      <c r="G20" s="45">
        <v>5073</v>
      </c>
    </row>
    <row r="21" spans="1:7">
      <c r="A21" s="42" t="s">
        <v>114</v>
      </c>
      <c r="B21" s="45">
        <v>3196643</v>
      </c>
      <c r="C21" s="82">
        <v>3921</v>
      </c>
      <c r="D21" s="45">
        <v>4924</v>
      </c>
      <c r="E21" s="45">
        <v>6174</v>
      </c>
      <c r="F21" s="45">
        <v>7786</v>
      </c>
      <c r="G21" s="45">
        <v>9739</v>
      </c>
    </row>
    <row r="22" spans="1:7">
      <c r="A22" s="42" t="s">
        <v>115</v>
      </c>
      <c r="B22" s="45">
        <v>279527</v>
      </c>
      <c r="C22" s="82">
        <v>471</v>
      </c>
      <c r="D22" s="45">
        <v>629</v>
      </c>
      <c r="E22" s="45">
        <v>916</v>
      </c>
      <c r="F22" s="45">
        <v>991</v>
      </c>
      <c r="G22" s="45">
        <v>1120</v>
      </c>
    </row>
    <row r="23" spans="1:7">
      <c r="A23" s="42" t="s">
        <v>116</v>
      </c>
      <c r="B23" s="45">
        <v>311770</v>
      </c>
      <c r="C23" s="45" t="s">
        <v>4</v>
      </c>
      <c r="D23" s="45" t="s">
        <v>4</v>
      </c>
      <c r="E23" s="45" t="s">
        <v>4</v>
      </c>
      <c r="F23" s="45" t="s">
        <v>4</v>
      </c>
      <c r="G23" s="45" t="s">
        <v>4</v>
      </c>
    </row>
    <row r="24" spans="1:7">
      <c r="A24" s="42" t="s">
        <v>117</v>
      </c>
      <c r="B24" s="45" t="s">
        <v>4</v>
      </c>
      <c r="C24" s="45">
        <v>671</v>
      </c>
      <c r="D24" s="45">
        <v>788</v>
      </c>
      <c r="E24" s="45">
        <v>926</v>
      </c>
      <c r="F24" s="45">
        <v>1146</v>
      </c>
      <c r="G24" s="45">
        <v>1454</v>
      </c>
    </row>
    <row r="25" spans="1:7">
      <c r="A25" s="43" t="s">
        <v>118</v>
      </c>
      <c r="B25" s="44">
        <v>5996827</v>
      </c>
      <c r="C25" s="44">
        <v>9584</v>
      </c>
      <c r="D25" s="44">
        <v>10683</v>
      </c>
      <c r="E25" s="44">
        <v>15963</v>
      </c>
      <c r="F25" s="44">
        <v>21889</v>
      </c>
      <c r="G25" s="44">
        <v>22850</v>
      </c>
    </row>
    <row r="26" spans="1:7">
      <c r="A26" s="42"/>
      <c r="B26" s="42"/>
      <c r="C26" s="42"/>
      <c r="D26" s="42"/>
      <c r="E26" s="42"/>
      <c r="F26" s="42"/>
      <c r="G26" s="42"/>
    </row>
    <row r="27" spans="1:7">
      <c r="A27" s="43" t="s">
        <v>119</v>
      </c>
      <c r="B27" s="42"/>
      <c r="C27" s="42"/>
      <c r="D27" s="42"/>
      <c r="E27" s="42"/>
      <c r="F27" s="42"/>
      <c r="G27" s="42"/>
    </row>
    <row r="28" spans="1:7">
      <c r="A28" s="42" t="s">
        <v>120</v>
      </c>
      <c r="B28" s="45" t="s">
        <v>4</v>
      </c>
      <c r="C28" s="45" t="s">
        <v>4</v>
      </c>
      <c r="D28" s="45" t="s">
        <v>4</v>
      </c>
      <c r="E28" s="45">
        <v>3040</v>
      </c>
      <c r="F28" s="45">
        <v>3204</v>
      </c>
      <c r="G28" s="45">
        <v>2880</v>
      </c>
    </row>
    <row r="29" spans="1:7">
      <c r="A29" s="42" t="s">
        <v>121</v>
      </c>
      <c r="B29" s="45">
        <v>1787534</v>
      </c>
      <c r="C29" s="45">
        <v>1947</v>
      </c>
      <c r="D29" s="45">
        <v>2051</v>
      </c>
      <c r="E29" s="45">
        <v>2375</v>
      </c>
      <c r="F29" s="45">
        <v>2459</v>
      </c>
      <c r="G29" s="45">
        <v>2815</v>
      </c>
    </row>
    <row r="30" spans="1:7">
      <c r="A30" s="42" t="s">
        <v>122</v>
      </c>
      <c r="B30" s="45">
        <v>566953</v>
      </c>
      <c r="C30" s="45">
        <v>677</v>
      </c>
      <c r="D30" s="45">
        <v>1302</v>
      </c>
      <c r="E30" s="45">
        <v>1963</v>
      </c>
      <c r="F30" s="45">
        <v>3909</v>
      </c>
      <c r="G30" s="45">
        <v>4784</v>
      </c>
    </row>
    <row r="31" spans="1:7">
      <c r="A31" s="42" t="s">
        <v>123</v>
      </c>
      <c r="B31" s="45">
        <v>7263846</v>
      </c>
      <c r="C31" s="45">
        <v>7314</v>
      </c>
      <c r="D31" s="45">
        <v>12851</v>
      </c>
      <c r="E31" s="45">
        <v>25134</v>
      </c>
      <c r="F31" s="45">
        <v>26318</v>
      </c>
      <c r="G31" s="45">
        <v>47937</v>
      </c>
    </row>
    <row r="32" spans="1:7">
      <c r="A32" s="42" t="s">
        <v>124</v>
      </c>
      <c r="B32" s="45">
        <v>1113374</v>
      </c>
      <c r="C32" s="45">
        <v>827</v>
      </c>
      <c r="D32" s="45">
        <v>1923</v>
      </c>
      <c r="E32" s="45">
        <v>4724</v>
      </c>
      <c r="F32" s="45">
        <v>4114</v>
      </c>
      <c r="G32" s="45">
        <v>8978</v>
      </c>
    </row>
    <row r="33" spans="1:7">
      <c r="A33" s="42" t="s">
        <v>125</v>
      </c>
      <c r="B33" s="45">
        <v>141671</v>
      </c>
      <c r="C33" s="45">
        <v>146</v>
      </c>
      <c r="D33" s="45" t="s">
        <v>4</v>
      </c>
      <c r="E33" s="45" t="s">
        <v>4</v>
      </c>
      <c r="F33" s="45" t="s">
        <v>4</v>
      </c>
      <c r="G33" s="45" t="s">
        <v>4</v>
      </c>
    </row>
    <row r="34" spans="1:7">
      <c r="A34" s="42" t="s">
        <v>126</v>
      </c>
      <c r="B34" s="45">
        <v>227849</v>
      </c>
      <c r="C34" s="45" t="s">
        <v>4</v>
      </c>
      <c r="D34" s="45" t="s">
        <v>4</v>
      </c>
      <c r="E34" s="45" t="s">
        <v>4</v>
      </c>
      <c r="F34" s="45" t="s">
        <v>4</v>
      </c>
      <c r="G34" s="45" t="s">
        <v>4</v>
      </c>
    </row>
    <row r="35" spans="1:7">
      <c r="A35" s="42" t="s">
        <v>127</v>
      </c>
      <c r="B35" s="45" t="s">
        <v>4</v>
      </c>
      <c r="C35" s="45">
        <v>1105</v>
      </c>
      <c r="D35" s="45">
        <v>1232</v>
      </c>
      <c r="E35" s="45" t="s">
        <v>4</v>
      </c>
      <c r="F35" s="45" t="s">
        <v>4</v>
      </c>
      <c r="G35" s="45" t="s">
        <v>4</v>
      </c>
    </row>
    <row r="36" spans="1:7">
      <c r="A36" s="42" t="s">
        <v>128</v>
      </c>
      <c r="B36" s="45" t="s">
        <v>4</v>
      </c>
      <c r="C36" s="45" t="s">
        <v>4</v>
      </c>
      <c r="D36" s="45" t="s">
        <v>4</v>
      </c>
      <c r="E36" s="45">
        <v>1348</v>
      </c>
      <c r="F36" s="45">
        <v>1715</v>
      </c>
      <c r="G36" s="45">
        <v>2342</v>
      </c>
    </row>
    <row r="37" spans="1:7">
      <c r="A37" s="42" t="s">
        <v>129</v>
      </c>
      <c r="B37" s="45">
        <v>486869</v>
      </c>
      <c r="C37" s="45">
        <v>384</v>
      </c>
      <c r="D37" s="45" t="s">
        <v>4</v>
      </c>
      <c r="E37" s="45" t="s">
        <v>4</v>
      </c>
      <c r="F37" s="45" t="s">
        <v>4</v>
      </c>
      <c r="G37" s="45" t="s">
        <v>4</v>
      </c>
    </row>
    <row r="38" spans="1:7">
      <c r="A38" s="42" t="s">
        <v>130</v>
      </c>
      <c r="B38" s="45" t="s">
        <v>4</v>
      </c>
      <c r="C38" s="45" t="s">
        <v>4</v>
      </c>
      <c r="D38" s="45" t="s">
        <v>4</v>
      </c>
      <c r="E38" s="45">
        <v>579</v>
      </c>
      <c r="F38" s="45">
        <v>2693</v>
      </c>
      <c r="G38" s="45">
        <v>2623</v>
      </c>
    </row>
    <row r="39" spans="1:7">
      <c r="A39" s="42" t="s">
        <v>131</v>
      </c>
      <c r="B39" s="45" t="s">
        <v>4</v>
      </c>
      <c r="C39" s="45" t="s">
        <v>4</v>
      </c>
      <c r="D39" s="45">
        <v>695</v>
      </c>
      <c r="E39" s="45" t="s">
        <v>4</v>
      </c>
      <c r="F39" s="45" t="s">
        <v>4</v>
      </c>
      <c r="G39" s="45" t="s">
        <v>4</v>
      </c>
    </row>
    <row r="40" spans="1:7">
      <c r="A40" s="43" t="s">
        <v>132</v>
      </c>
      <c r="B40" s="44">
        <v>17584923</v>
      </c>
      <c r="C40" s="44">
        <v>21984</v>
      </c>
      <c r="D40" s="44">
        <v>30737</v>
      </c>
      <c r="E40" s="44">
        <v>55126</v>
      </c>
      <c r="F40" s="44">
        <v>66301</v>
      </c>
      <c r="G40" s="44">
        <v>95209</v>
      </c>
    </row>
    <row r="41" spans="1:7">
      <c r="A41" s="42"/>
      <c r="B41" s="42"/>
      <c r="C41" s="42"/>
      <c r="D41" s="42"/>
      <c r="E41" s="42"/>
      <c r="F41" s="42"/>
      <c r="G41" s="42"/>
    </row>
    <row r="42" spans="1:7">
      <c r="A42" s="43" t="s">
        <v>133</v>
      </c>
      <c r="B42" s="42"/>
      <c r="C42" s="42"/>
      <c r="D42" s="42"/>
      <c r="E42" s="42"/>
      <c r="F42" s="42"/>
      <c r="G42" s="42"/>
    </row>
    <row r="43" spans="1:7">
      <c r="A43" s="42" t="s">
        <v>134</v>
      </c>
      <c r="B43" s="45" t="s">
        <v>4</v>
      </c>
      <c r="C43" s="82">
        <v>76</v>
      </c>
      <c r="D43" s="45" t="s">
        <v>4</v>
      </c>
      <c r="E43" s="45" t="s">
        <v>4</v>
      </c>
      <c r="F43" s="45" t="s">
        <v>4</v>
      </c>
      <c r="G43" s="45" t="s">
        <v>4</v>
      </c>
    </row>
    <row r="44" spans="1:7">
      <c r="A44" s="42" t="s">
        <v>135</v>
      </c>
      <c r="B44" s="45">
        <v>1752664</v>
      </c>
      <c r="C44" s="82" t="s">
        <v>4</v>
      </c>
      <c r="D44" s="45">
        <v>2691</v>
      </c>
      <c r="E44" s="45">
        <v>3433</v>
      </c>
      <c r="F44" s="45">
        <v>4355</v>
      </c>
      <c r="G44" s="45">
        <v>5474</v>
      </c>
    </row>
    <row r="45" spans="1:7">
      <c r="A45" s="42" t="s">
        <v>136</v>
      </c>
      <c r="B45" s="45" t="s">
        <v>4</v>
      </c>
      <c r="C45" s="82">
        <v>1001</v>
      </c>
      <c r="D45" s="45" t="s">
        <v>4</v>
      </c>
      <c r="E45" s="45" t="s">
        <v>4</v>
      </c>
      <c r="F45" s="45" t="s">
        <v>4</v>
      </c>
      <c r="G45" s="45" t="s">
        <v>4</v>
      </c>
    </row>
    <row r="46" spans="1:7">
      <c r="A46" s="42" t="s">
        <v>137</v>
      </c>
      <c r="B46" s="45" t="s">
        <v>4</v>
      </c>
      <c r="C46" s="82">
        <v>970</v>
      </c>
      <c r="D46" s="45" t="s">
        <v>4</v>
      </c>
      <c r="E46" s="45" t="s">
        <v>4</v>
      </c>
      <c r="F46" s="45" t="s">
        <v>4</v>
      </c>
      <c r="G46" s="45" t="s">
        <v>4</v>
      </c>
    </row>
    <row r="47" spans="1:7">
      <c r="A47" s="42" t="s">
        <v>138</v>
      </c>
      <c r="B47" s="45" t="s">
        <v>4</v>
      </c>
      <c r="C47" s="45">
        <v>1025</v>
      </c>
      <c r="D47" s="45" t="s">
        <v>4</v>
      </c>
      <c r="E47" s="45" t="s">
        <v>4</v>
      </c>
      <c r="F47" s="45" t="s">
        <v>4</v>
      </c>
      <c r="G47" s="45" t="s">
        <v>4</v>
      </c>
    </row>
    <row r="48" spans="1:7">
      <c r="A48" s="42" t="s">
        <v>139</v>
      </c>
      <c r="B48" s="45" t="s">
        <v>4</v>
      </c>
      <c r="C48" s="45" t="s">
        <v>4</v>
      </c>
      <c r="D48" s="45" t="s">
        <v>4</v>
      </c>
      <c r="E48" s="45">
        <v>750</v>
      </c>
      <c r="F48" s="45">
        <v>766</v>
      </c>
      <c r="G48" s="45">
        <v>686</v>
      </c>
    </row>
    <row r="49" spans="1:7">
      <c r="A49" s="42" t="s">
        <v>140</v>
      </c>
      <c r="B49" s="45">
        <v>5542802</v>
      </c>
      <c r="C49" s="82">
        <v>6995</v>
      </c>
      <c r="D49" s="45">
        <v>8564</v>
      </c>
      <c r="E49" s="45">
        <v>10662</v>
      </c>
      <c r="F49" s="45">
        <v>12607</v>
      </c>
      <c r="G49" s="45">
        <v>15628</v>
      </c>
    </row>
    <row r="50" spans="1:7">
      <c r="A50" s="43" t="s">
        <v>141</v>
      </c>
      <c r="B50" s="44">
        <v>7295466</v>
      </c>
      <c r="C50" s="44">
        <v>10067</v>
      </c>
      <c r="D50" s="44">
        <v>11255</v>
      </c>
      <c r="E50" s="44">
        <v>14845</v>
      </c>
      <c r="F50" s="44">
        <v>17728</v>
      </c>
      <c r="G50" s="44">
        <v>21788</v>
      </c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3" t="s">
        <v>142</v>
      </c>
      <c r="B52" s="42"/>
      <c r="C52" s="42"/>
      <c r="D52" s="42"/>
      <c r="E52" s="42"/>
      <c r="F52" s="42"/>
      <c r="G52" s="42"/>
    </row>
    <row r="53" spans="1:7">
      <c r="A53" s="42" t="s">
        <v>143</v>
      </c>
      <c r="B53" s="45">
        <v>2008391</v>
      </c>
      <c r="C53" s="45">
        <v>695</v>
      </c>
      <c r="D53" s="45">
        <v>3173</v>
      </c>
      <c r="E53" s="45">
        <v>2673</v>
      </c>
      <c r="F53" s="45">
        <v>2673</v>
      </c>
      <c r="G53" s="45">
        <v>10592</v>
      </c>
    </row>
    <row r="54" spans="1:7">
      <c r="A54" s="42" t="s">
        <v>144</v>
      </c>
      <c r="B54" s="45" t="s">
        <v>4</v>
      </c>
      <c r="C54" s="45" t="s">
        <v>4</v>
      </c>
      <c r="D54" s="45" t="s">
        <v>4</v>
      </c>
      <c r="E54" s="45">
        <v>2445</v>
      </c>
      <c r="F54" s="45">
        <v>2842</v>
      </c>
      <c r="G54" s="45">
        <v>2703</v>
      </c>
    </row>
    <row r="55" spans="1:7">
      <c r="A55" s="42" t="s">
        <v>145</v>
      </c>
      <c r="B55" s="45">
        <v>780939</v>
      </c>
      <c r="C55" s="45">
        <v>846</v>
      </c>
      <c r="D55" s="45">
        <v>704</v>
      </c>
      <c r="E55" s="45">
        <v>1278</v>
      </c>
      <c r="F55" s="45">
        <v>1565</v>
      </c>
      <c r="G55" s="45">
        <v>1995</v>
      </c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3" t="s">
        <v>146</v>
      </c>
      <c r="B57" s="42"/>
      <c r="C57" s="42"/>
      <c r="D57" s="42"/>
      <c r="E57" s="42"/>
      <c r="F57" s="42"/>
      <c r="G57" s="42"/>
    </row>
    <row r="58" spans="1:7">
      <c r="A58" s="42" t="s">
        <v>147</v>
      </c>
      <c r="B58" s="45">
        <v>708</v>
      </c>
      <c r="C58" s="45">
        <v>1</v>
      </c>
      <c r="D58" s="45">
        <v>1</v>
      </c>
      <c r="E58" s="45">
        <v>1</v>
      </c>
      <c r="F58" s="45">
        <v>1</v>
      </c>
      <c r="G58" s="45">
        <v>1</v>
      </c>
    </row>
    <row r="59" spans="1:7">
      <c r="A59" s="42" t="s">
        <v>148</v>
      </c>
      <c r="B59" s="45">
        <v>8040170</v>
      </c>
      <c r="C59" s="45">
        <v>9752</v>
      </c>
      <c r="D59" s="45">
        <v>13927</v>
      </c>
      <c r="E59" s="45">
        <v>32116</v>
      </c>
      <c r="F59" s="45">
        <v>35601</v>
      </c>
      <c r="G59" s="45">
        <v>50919</v>
      </c>
    </row>
    <row r="60" spans="1:7">
      <c r="A60" s="42" t="s">
        <v>149</v>
      </c>
      <c r="B60" s="45">
        <v>-464910</v>
      </c>
      <c r="C60" s="45">
        <v>635</v>
      </c>
      <c r="D60" s="45">
        <v>1735</v>
      </c>
      <c r="E60" s="45">
        <v>1861</v>
      </c>
      <c r="F60" s="45">
        <v>5933</v>
      </c>
      <c r="G60" s="45">
        <v>7377</v>
      </c>
    </row>
    <row r="61" spans="1:7">
      <c r="A61" s="42" t="s">
        <v>150</v>
      </c>
      <c r="B61" s="45">
        <v>-75841</v>
      </c>
      <c r="C61" s="45">
        <v>-12</v>
      </c>
      <c r="D61" s="45">
        <v>-58</v>
      </c>
      <c r="E61" s="45">
        <v>-93</v>
      </c>
      <c r="F61" s="45">
        <v>-42</v>
      </c>
      <c r="G61" s="45">
        <v>-166</v>
      </c>
    </row>
    <row r="62" spans="1:7">
      <c r="A62" s="43" t="s">
        <v>151</v>
      </c>
      <c r="B62" s="44">
        <v>7500127</v>
      </c>
      <c r="C62" s="44">
        <v>10376</v>
      </c>
      <c r="D62" s="44">
        <v>15605</v>
      </c>
      <c r="E62" s="44">
        <v>33885</v>
      </c>
      <c r="F62" s="44">
        <v>41493</v>
      </c>
      <c r="G62" s="44">
        <v>58131</v>
      </c>
    </row>
    <row r="63" spans="1:7">
      <c r="A63" s="43" t="s">
        <v>152</v>
      </c>
      <c r="B63" s="44">
        <v>17584923</v>
      </c>
      <c r="C63" s="44">
        <v>21984</v>
      </c>
      <c r="D63" s="44">
        <v>30737</v>
      </c>
      <c r="E63" s="44">
        <v>55126</v>
      </c>
      <c r="F63" s="44">
        <v>66301</v>
      </c>
      <c r="G63" s="44">
        <v>95209</v>
      </c>
    </row>
    <row r="64" spans="1:7">
      <c r="A64" s="40"/>
      <c r="B64" s="40"/>
      <c r="C64" s="40"/>
      <c r="D64" s="40"/>
      <c r="E64" s="40"/>
      <c r="F64" s="40"/>
      <c r="G64" s="40"/>
    </row>
    <row r="65" spans="1:1">
      <c r="A65" s="38" t="s">
        <v>153</v>
      </c>
    </row>
    <row r="66" spans="1:1">
      <c r="A66" s="39" t="s">
        <v>57</v>
      </c>
    </row>
  </sheetData>
  <pageMargins left="0.2" right="0.2" top="0.5" bottom="0.5" header="0.5" footer="0.5"/>
  <pageSetup fitToWidth="0" fitToHeight="0" orientation="landscape" horizontalDpi="0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B1A6-084E-4E2C-A9BC-F6B3357D47A5}">
  <sheetPr>
    <tabColor rgb="FF00B0F0"/>
  </sheetPr>
  <dimension ref="A1"/>
  <sheetViews>
    <sheetView workbookViewId="0">
      <selection activeCell="D31" sqref="D31"/>
    </sheetView>
  </sheetViews>
  <sheetFormatPr defaultColWidth="8.875" defaultRowHeight="15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8A98-F8E6-4D3B-B844-82C6F97B96DD}">
  <sheetPr>
    <tabColor rgb="FF00B0F0"/>
  </sheetPr>
  <dimension ref="B4:O68"/>
  <sheetViews>
    <sheetView showGridLines="0" topLeftCell="A4" workbookViewId="0">
      <selection activeCell="H29" sqref="H29"/>
    </sheetView>
  </sheetViews>
  <sheetFormatPr defaultColWidth="11" defaultRowHeight="15"/>
  <cols>
    <col min="1" max="1" width="11" style="52"/>
    <col min="2" max="2" width="29.125" style="52" bestFit="1" customWidth="1"/>
    <col min="3" max="3" width="9" style="52" customWidth="1"/>
    <col min="4" max="16384" width="11" style="52"/>
  </cols>
  <sheetData>
    <row r="4" spans="2:14">
      <c r="B4" s="56" t="s">
        <v>156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2:14">
      <c r="B5" s="57" t="s">
        <v>155</v>
      </c>
    </row>
    <row r="7" spans="2:14">
      <c r="B7" s="59"/>
      <c r="C7" s="60" t="str">
        <f t="shared" ref="C7:H7" si="0">"FY"&amp;YEAR(C8)</f>
        <v>FY2017</v>
      </c>
      <c r="D7" s="60" t="str">
        <f t="shared" si="0"/>
        <v>FY2018</v>
      </c>
      <c r="E7" s="60" t="str">
        <f t="shared" si="0"/>
        <v>FY2019</v>
      </c>
      <c r="F7" s="60" t="str">
        <f t="shared" si="0"/>
        <v>FY2020</v>
      </c>
      <c r="G7" s="60" t="str">
        <f t="shared" si="0"/>
        <v>FY2021</v>
      </c>
      <c r="H7" s="60" t="str">
        <f t="shared" si="0"/>
        <v>FY2022</v>
      </c>
      <c r="I7" s="62" t="str">
        <f t="shared" ref="I7" si="1">"FY"&amp;YEAR(I8)</f>
        <v>FY2023</v>
      </c>
      <c r="J7" s="60" t="str">
        <f t="shared" ref="J7" si="2">"FY"&amp;YEAR(J8)</f>
        <v>FY2024</v>
      </c>
      <c r="K7" s="60" t="str">
        <f t="shared" ref="K7" si="3">"FY"&amp;YEAR(K8)</f>
        <v>FY2025</v>
      </c>
      <c r="L7" s="60" t="str">
        <f t="shared" ref="L7" si="4">"FY"&amp;YEAR(L8)</f>
        <v>FY2026</v>
      </c>
      <c r="M7" s="60" t="str">
        <f t="shared" ref="M7" si="5">"FY"&amp;YEAR(M8)</f>
        <v>FY2027</v>
      </c>
    </row>
    <row r="8" spans="2:14">
      <c r="C8" s="61">
        <v>42766</v>
      </c>
      <c r="D8" s="61">
        <f>EOMONTH(C8, 12)</f>
        <v>43131</v>
      </c>
      <c r="E8" s="61">
        <f>EOMONTH(D8, 12)</f>
        <v>43496</v>
      </c>
      <c r="F8" s="61">
        <f>EOMONTH(E8, 12)</f>
        <v>43861</v>
      </c>
      <c r="G8" s="61">
        <f>EOMONTH(F8, 12)</f>
        <v>44227</v>
      </c>
      <c r="H8" s="61">
        <f>EOMONTH(G8, 12)</f>
        <v>44592</v>
      </c>
      <c r="I8" s="63">
        <f t="shared" ref="I8:M8" si="6">EOMONTH(H8, 12)</f>
        <v>44957</v>
      </c>
      <c r="J8" s="61">
        <f t="shared" si="6"/>
        <v>45322</v>
      </c>
      <c r="K8" s="61">
        <f t="shared" si="6"/>
        <v>45688</v>
      </c>
      <c r="L8" s="61">
        <f t="shared" si="6"/>
        <v>46053</v>
      </c>
      <c r="M8" s="61">
        <f t="shared" si="6"/>
        <v>46418</v>
      </c>
    </row>
    <row r="9" spans="2:14">
      <c r="I9" s="64"/>
    </row>
    <row r="10" spans="2:14">
      <c r="I10" s="64"/>
    </row>
    <row r="11" spans="2:14">
      <c r="B11" s="73" t="s">
        <v>162</v>
      </c>
      <c r="I11" s="70">
        <f>CHOOSE(Title!$E$9, I12, I13, I14)</f>
        <v>0.43749358296844332</v>
      </c>
      <c r="J11" s="71">
        <f>CHOOSE(Title!$E$9, J12, J13, J14)</f>
        <v>0.42749358296844331</v>
      </c>
      <c r="K11" s="71">
        <f>CHOOSE(Title!$E$9, K12, K13, K14)</f>
        <v>0.4174935829684433</v>
      </c>
      <c r="L11" s="71">
        <f>CHOOSE(Title!$E$9, L12, L13, L14)</f>
        <v>0.40749358296844329</v>
      </c>
      <c r="M11" s="72">
        <f>CHOOSE(Title!$E$9, M12, M13, M14)</f>
        <v>0.39749358296844328</v>
      </c>
    </row>
    <row r="12" spans="2:14">
      <c r="B12" s="65" t="s">
        <v>159</v>
      </c>
      <c r="C12" s="66">
        <f t="shared" ref="C12:H12" si="7">C13</f>
        <v>0.45170084153134998</v>
      </c>
      <c r="D12" s="66">
        <f t="shared" si="7"/>
        <v>0.44316888045540798</v>
      </c>
      <c r="E12" s="66">
        <f t="shared" si="7"/>
        <v>0.45655774732720977</v>
      </c>
      <c r="F12" s="66">
        <f t="shared" si="7"/>
        <v>0.46379693531407185</v>
      </c>
      <c r="G12" s="66">
        <f t="shared" si="7"/>
        <v>0.45520421607378131</v>
      </c>
      <c r="H12" s="66">
        <f t="shared" si="7"/>
        <v>0.44749358296844333</v>
      </c>
      <c r="I12" s="68">
        <f>G12</f>
        <v>0.45520421607378131</v>
      </c>
      <c r="J12" s="66">
        <f>I12</f>
        <v>0.45520421607378131</v>
      </c>
      <c r="K12" s="66">
        <f t="shared" ref="K12:M12" si="8">J12</f>
        <v>0.45520421607378131</v>
      </c>
      <c r="L12" s="66">
        <f>K12</f>
        <v>0.45520421607378131</v>
      </c>
      <c r="M12" s="66">
        <f t="shared" si="8"/>
        <v>0.45520421607378131</v>
      </c>
      <c r="N12" s="52" t="s">
        <v>262</v>
      </c>
    </row>
    <row r="13" spans="2:14">
      <c r="B13" s="65" t="s">
        <v>158</v>
      </c>
      <c r="C13" s="67">
        <f>'Income Statement'!B26/'Income Statement'!B21*-1</f>
        <v>0.45170084153134998</v>
      </c>
      <c r="D13" s="67">
        <f>'Income Statement'!C26/'Income Statement'!C21*-1</f>
        <v>0.44316888045540798</v>
      </c>
      <c r="E13" s="67">
        <f>'Income Statement'!D26/'Income Statement'!D21*-1</f>
        <v>0.45655774732720977</v>
      </c>
      <c r="F13" s="67">
        <f>'Income Statement'!E26/'Income Statement'!E21*-1</f>
        <v>0.46379693531407185</v>
      </c>
      <c r="G13" s="67">
        <f>'Income Statement'!F26/'Income Statement'!F21*-1</f>
        <v>0.45520421607378131</v>
      </c>
      <c r="H13" s="67">
        <f>'Income Statement'!G26/'Income Statement'!G21*-1</f>
        <v>0.44749358296844333</v>
      </c>
      <c r="I13" s="68">
        <f>H13-1%</f>
        <v>0.43749358296844332</v>
      </c>
      <c r="J13" s="69">
        <f>I13-1%</f>
        <v>0.42749358296844331</v>
      </c>
      <c r="K13" s="69">
        <f>J13-1%</f>
        <v>0.4174935829684433</v>
      </c>
      <c r="L13" s="69">
        <f>K13-1%</f>
        <v>0.40749358296844329</v>
      </c>
      <c r="M13" s="69">
        <f>L13-1%</f>
        <v>0.39749358296844328</v>
      </c>
      <c r="N13" s="52" t="s">
        <v>263</v>
      </c>
    </row>
    <row r="14" spans="2:14">
      <c r="B14" s="65" t="s">
        <v>160</v>
      </c>
      <c r="C14" s="66">
        <f t="shared" ref="C14:H14" si="9">C13</f>
        <v>0.45170084153134998</v>
      </c>
      <c r="D14" s="66">
        <f t="shared" si="9"/>
        <v>0.44316888045540798</v>
      </c>
      <c r="E14" s="66">
        <f t="shared" si="9"/>
        <v>0.45655774732720977</v>
      </c>
      <c r="F14" s="66">
        <f t="shared" si="9"/>
        <v>0.46379693531407185</v>
      </c>
      <c r="G14" s="66">
        <f t="shared" si="9"/>
        <v>0.45520421607378131</v>
      </c>
      <c r="H14" s="66">
        <f t="shared" si="9"/>
        <v>0.44749358296844333</v>
      </c>
      <c r="I14" s="68">
        <f>I13-0.5%</f>
        <v>0.43249358296844331</v>
      </c>
      <c r="J14" s="66">
        <f t="shared" ref="J14:M14" si="10">J13-0.5%</f>
        <v>0.4224935829684433</v>
      </c>
      <c r="K14" s="66">
        <f t="shared" si="10"/>
        <v>0.4124935829684433</v>
      </c>
      <c r="L14" s="66">
        <f t="shared" si="10"/>
        <v>0.40249358296844329</v>
      </c>
      <c r="M14" s="66">
        <f t="shared" si="10"/>
        <v>0.39249358296844328</v>
      </c>
      <c r="N14" s="52" t="s">
        <v>264</v>
      </c>
    </row>
    <row r="16" spans="2:14">
      <c r="B16" s="73" t="s">
        <v>163</v>
      </c>
      <c r="I16" s="70">
        <f>CHOOSE(Title!$E$9, I17, I18, I19)</f>
        <v>0.16454144647440735</v>
      </c>
      <c r="J16" s="71">
        <f>CHOOSE(Title!$E$9, J17, J18, J19)</f>
        <v>0.16054144647440735</v>
      </c>
      <c r="K16" s="71">
        <f>CHOOSE(Title!$E$9, K17, K18, K19)</f>
        <v>0.15654144647440735</v>
      </c>
      <c r="L16" s="71">
        <f>CHOOSE(Title!$E$9, L17, L18, L19)</f>
        <v>0.15254144647440734</v>
      </c>
      <c r="M16" s="72">
        <f>CHOOSE(Title!$E$9, M17, M18, M19)</f>
        <v>0.14854144647440734</v>
      </c>
    </row>
    <row r="17" spans="2:14">
      <c r="B17" s="65" t="s">
        <v>159</v>
      </c>
      <c r="C17" s="66">
        <f t="shared" ref="C17:H17" si="11">C18</f>
        <v>0.14317885504326183</v>
      </c>
      <c r="D17" s="66">
        <f t="shared" si="11"/>
        <v>0.14734345351043643</v>
      </c>
      <c r="E17" s="66">
        <f t="shared" si="11"/>
        <v>0.1419966872458967</v>
      </c>
      <c r="F17" s="66">
        <f t="shared" si="11"/>
        <v>0.16177330681951105</v>
      </c>
      <c r="G17" s="66">
        <f t="shared" si="11"/>
        <v>0.16930171277997366</v>
      </c>
      <c r="H17" s="66">
        <f t="shared" si="11"/>
        <v>0.16854144647440736</v>
      </c>
      <c r="I17" s="68">
        <f>G17</f>
        <v>0.16930171277997366</v>
      </c>
      <c r="J17" s="66">
        <f>I17</f>
        <v>0.16930171277997366</v>
      </c>
      <c r="K17" s="66">
        <f t="shared" ref="K17:M17" si="12">J17</f>
        <v>0.16930171277997366</v>
      </c>
      <c r="L17" s="66">
        <f>K17</f>
        <v>0.16930171277997366</v>
      </c>
      <c r="M17" s="66">
        <f t="shared" si="12"/>
        <v>0.16930171277997366</v>
      </c>
      <c r="N17" s="52" t="s">
        <v>265</v>
      </c>
    </row>
    <row r="18" spans="2:14">
      <c r="B18" s="65" t="s">
        <v>158</v>
      </c>
      <c r="C18" s="67">
        <f>'Income Statement'!B28/'Income Statement'!B21*-1</f>
        <v>0.14317885504326183</v>
      </c>
      <c r="D18" s="67">
        <f>'Income Statement'!C28/'Income Statement'!C21*-1</f>
        <v>0.14734345351043643</v>
      </c>
      <c r="E18" s="67">
        <f>'Income Statement'!D28/'Income Statement'!D21*-1</f>
        <v>0.1419966872458967</v>
      </c>
      <c r="F18" s="67">
        <f>'Income Statement'!E28/'Income Statement'!E21*-1</f>
        <v>0.16177330681951105</v>
      </c>
      <c r="G18" s="67">
        <f>'Income Statement'!F28/'Income Statement'!F21*-1</f>
        <v>0.16930171277997366</v>
      </c>
      <c r="H18" s="67">
        <f>'Income Statement'!G28/'Income Statement'!G21*-1</f>
        <v>0.16854144647440736</v>
      </c>
      <c r="I18" s="68">
        <f>H18-0.004</f>
        <v>0.16454144647440735</v>
      </c>
      <c r="J18" s="69">
        <f t="shared" ref="J18:M18" si="13">I18-0.004</f>
        <v>0.16054144647440735</v>
      </c>
      <c r="K18" s="69">
        <f t="shared" si="13"/>
        <v>0.15654144647440735</v>
      </c>
      <c r="L18" s="69">
        <f t="shared" si="13"/>
        <v>0.15254144647440734</v>
      </c>
      <c r="M18" s="69">
        <f t="shared" si="13"/>
        <v>0.14854144647440734</v>
      </c>
      <c r="N18" s="52" t="s">
        <v>266</v>
      </c>
    </row>
    <row r="19" spans="2:14">
      <c r="B19" s="65" t="s">
        <v>160</v>
      </c>
      <c r="C19" s="66">
        <f t="shared" ref="C19:H19" si="14">C18</f>
        <v>0.14317885504326183</v>
      </c>
      <c r="D19" s="66">
        <f t="shared" si="14"/>
        <v>0.14734345351043643</v>
      </c>
      <c r="E19" s="66">
        <f t="shared" si="14"/>
        <v>0.1419966872458967</v>
      </c>
      <c r="F19" s="66">
        <f t="shared" si="14"/>
        <v>0.16177330681951105</v>
      </c>
      <c r="G19" s="66">
        <f t="shared" si="14"/>
        <v>0.16930171277997366</v>
      </c>
      <c r="H19" s="66">
        <f t="shared" si="14"/>
        <v>0.16854144647440736</v>
      </c>
      <c r="I19" s="68">
        <f>H19-0.005</f>
        <v>0.16354144647440735</v>
      </c>
      <c r="J19" s="69">
        <f t="shared" ref="J19:M19" si="15">I19-0.005</f>
        <v>0.15854144647440735</v>
      </c>
      <c r="K19" s="69">
        <f t="shared" si="15"/>
        <v>0.15354144647440734</v>
      </c>
      <c r="L19" s="69">
        <f t="shared" si="15"/>
        <v>0.14854144647440734</v>
      </c>
      <c r="M19" s="69">
        <f t="shared" si="15"/>
        <v>0.14354144647440734</v>
      </c>
      <c r="N19" s="52" t="s">
        <v>267</v>
      </c>
    </row>
    <row r="21" spans="2:14">
      <c r="B21" s="73" t="s">
        <v>164</v>
      </c>
      <c r="I21" s="70">
        <f>CHOOSE(Title!$E$9, I22, I23, I24)</f>
        <v>9.6567341084100866E-2</v>
      </c>
      <c r="J21" s="71">
        <f>CHOOSE(Title!$E$9, J22, J23, J24)</f>
        <v>9.5067341084100865E-2</v>
      </c>
      <c r="K21" s="71">
        <f>CHOOSE(Title!$E$9, K22, K23, K24)</f>
        <v>9.3567341084100863E-2</v>
      </c>
      <c r="L21" s="71">
        <f>CHOOSE(Title!$E$9, L22, L23, L24)</f>
        <v>9.2067341084100862E-2</v>
      </c>
      <c r="M21" s="72">
        <f>CHOOSE(Title!$E$9, M22, M23, M24)</f>
        <v>9.0567341084100861E-2</v>
      </c>
    </row>
    <row r="22" spans="2:14">
      <c r="B22" s="65" t="s">
        <v>159</v>
      </c>
      <c r="C22" s="66">
        <f t="shared" ref="C22:H22" si="16">C23</f>
        <v>0.11449567381770771</v>
      </c>
      <c r="D22" s="66">
        <f t="shared" si="16"/>
        <v>0.10332068311195446</v>
      </c>
      <c r="E22" s="66">
        <f t="shared" si="16"/>
        <v>0.10134015961451588</v>
      </c>
      <c r="F22" s="66">
        <f t="shared" si="16"/>
        <v>9.9660779038484026E-2</v>
      </c>
      <c r="G22" s="66">
        <f t="shared" si="16"/>
        <v>9.8202522115565599E-2</v>
      </c>
      <c r="H22" s="66">
        <f t="shared" si="16"/>
        <v>9.8067341084100867E-2</v>
      </c>
      <c r="I22" s="68">
        <f>G22</f>
        <v>9.8202522115565599E-2</v>
      </c>
      <c r="J22" s="66">
        <f>I22</f>
        <v>9.8202522115565599E-2</v>
      </c>
      <c r="K22" s="66">
        <f t="shared" ref="K22:M22" si="17">J22</f>
        <v>9.8202522115565599E-2</v>
      </c>
      <c r="L22" s="66">
        <f>K22</f>
        <v>9.8202522115565599E-2</v>
      </c>
      <c r="M22" s="66">
        <f t="shared" si="17"/>
        <v>9.8202522115565599E-2</v>
      </c>
      <c r="N22" s="52" t="s">
        <v>268</v>
      </c>
    </row>
    <row r="23" spans="2:14">
      <c r="B23" s="65" t="s">
        <v>158</v>
      </c>
      <c r="C23" s="67">
        <f>'Income Statement'!B27/'Income Statement'!B21*-1</f>
        <v>0.11449567381770771</v>
      </c>
      <c r="D23" s="67">
        <f>'Income Statement'!C27/'Income Statement'!C21*-1</f>
        <v>0.10332068311195446</v>
      </c>
      <c r="E23" s="67">
        <f>'Income Statement'!D27/'Income Statement'!D21*-1</f>
        <v>0.10134015961451588</v>
      </c>
      <c r="F23" s="67">
        <f>'Income Statement'!E27/'Income Statement'!E21*-1</f>
        <v>9.9660779038484026E-2</v>
      </c>
      <c r="G23" s="67">
        <f>'Income Statement'!F27/'Income Statement'!F21*-1</f>
        <v>9.8202522115565599E-2</v>
      </c>
      <c r="H23" s="67">
        <f>'Income Statement'!G27/'Income Statement'!G21*-1</f>
        <v>9.8067341084100867E-2</v>
      </c>
      <c r="I23" s="68">
        <f>H23-0.0015</f>
        <v>9.6567341084100866E-2</v>
      </c>
      <c r="J23" s="69">
        <f t="shared" ref="J23:M23" si="18">I23-0.0015</f>
        <v>9.5067341084100865E-2</v>
      </c>
      <c r="K23" s="69">
        <f t="shared" si="18"/>
        <v>9.3567341084100863E-2</v>
      </c>
      <c r="L23" s="69">
        <f t="shared" si="18"/>
        <v>9.2067341084100862E-2</v>
      </c>
      <c r="M23" s="69">
        <f t="shared" si="18"/>
        <v>9.0567341084100861E-2</v>
      </c>
      <c r="N23" s="180" t="s">
        <v>269</v>
      </c>
    </row>
    <row r="24" spans="2:14">
      <c r="B24" s="65" t="s">
        <v>160</v>
      </c>
      <c r="C24" s="66">
        <f t="shared" ref="C24:H24" si="19">C23</f>
        <v>0.11449567381770771</v>
      </c>
      <c r="D24" s="66">
        <f t="shared" si="19"/>
        <v>0.10332068311195446</v>
      </c>
      <c r="E24" s="66">
        <f t="shared" si="19"/>
        <v>0.10134015961451588</v>
      </c>
      <c r="F24" s="66">
        <f t="shared" si="19"/>
        <v>9.9660779038484026E-2</v>
      </c>
      <c r="G24" s="66">
        <f t="shared" si="19"/>
        <v>9.8202522115565599E-2</v>
      </c>
      <c r="H24" s="66">
        <f t="shared" si="19"/>
        <v>9.8067341084100867E-2</v>
      </c>
      <c r="I24" s="68">
        <f>H24-0.0025</f>
        <v>9.5567341084100865E-2</v>
      </c>
      <c r="J24" s="69">
        <f t="shared" ref="J24:M24" si="20">I24-0.0025</f>
        <v>9.3067341084100863E-2</v>
      </c>
      <c r="K24" s="69">
        <f t="shared" si="20"/>
        <v>9.0567341084100861E-2</v>
      </c>
      <c r="L24" s="69">
        <f t="shared" si="20"/>
        <v>8.8067341084100859E-2</v>
      </c>
      <c r="M24" s="69">
        <f t="shared" si="20"/>
        <v>8.5567341084100856E-2</v>
      </c>
      <c r="N24" s="112" t="s">
        <v>270</v>
      </c>
    </row>
    <row r="26" spans="2:14">
      <c r="B26" s="73" t="s">
        <v>167</v>
      </c>
      <c r="I26" s="70">
        <f>CHOOSE(Title!$E$9, I27, I28, I29)</f>
        <v>6.5000000000000002E-2</v>
      </c>
      <c r="J26" s="71">
        <f>CHOOSE(Title!$E$9, J27, J28, J29)</f>
        <v>5.7000000000000002E-2</v>
      </c>
      <c r="K26" s="71">
        <f>CHOOSE(Title!$E$9, K27, K28, K29)</f>
        <v>5.7000000000000002E-2</v>
      </c>
      <c r="L26" s="71">
        <f>CHOOSE(Title!$E$9, L27, L28, L29)</f>
        <v>5.7000000000000002E-2</v>
      </c>
      <c r="M26" s="72">
        <f>CHOOSE(Title!$E$9, M27, M28, M29)</f>
        <v>5.7000000000000002E-2</v>
      </c>
    </row>
    <row r="27" spans="2:14">
      <c r="B27" s="65" t="s">
        <v>159</v>
      </c>
      <c r="C27" s="66">
        <f>C28</f>
        <v>1.156821144956738E-2</v>
      </c>
      <c r="D27" s="66">
        <f t="shared" ref="D27:H27" si="21">D28</f>
        <v>1.1480075901328273E-2</v>
      </c>
      <c r="E27" s="66">
        <f t="shared" si="21"/>
        <v>1.7467248908296942E-2</v>
      </c>
      <c r="F27" s="66">
        <f t="shared" si="21"/>
        <v>2.0587203181658673E-2</v>
      </c>
      <c r="G27" s="66">
        <f t="shared" si="21"/>
        <v>2.1597967250141164E-2</v>
      </c>
      <c r="H27" s="66">
        <f t="shared" si="21"/>
        <v>2.7442246715989733E-2</v>
      </c>
      <c r="I27" s="68">
        <f>I28</f>
        <v>6.5000000000000002E-2</v>
      </c>
      <c r="J27" s="66">
        <f t="shared" ref="J27" si="22">J28</f>
        <v>5.7000000000000002E-2</v>
      </c>
      <c r="K27" s="66">
        <f t="shared" ref="K27" si="23">K28</f>
        <v>5.7000000000000002E-2</v>
      </c>
      <c r="L27" s="66">
        <f t="shared" ref="L27" si="24">L28</f>
        <v>5.7000000000000002E-2</v>
      </c>
      <c r="M27" s="66">
        <f t="shared" ref="M27" si="25">M28</f>
        <v>5.7000000000000002E-2</v>
      </c>
    </row>
    <row r="28" spans="2:14">
      <c r="B28" s="65" t="s">
        <v>158</v>
      </c>
      <c r="C28" s="67">
        <f>'Income Statement'!B50/'Income Statement'!B21</f>
        <v>1.156821144956738E-2</v>
      </c>
      <c r="D28" s="67">
        <f>'Income Statement'!C50/'Income Statement'!C21</f>
        <v>1.1480075901328273E-2</v>
      </c>
      <c r="E28" s="67">
        <f>'Income Statement'!D50/'Income Statement'!D21</f>
        <v>1.7467248908296942E-2</v>
      </c>
      <c r="F28" s="67">
        <f>'Income Statement'!E50/'Income Statement'!E21</f>
        <v>2.0587203181658673E-2</v>
      </c>
      <c r="G28" s="67">
        <f>'Income Statement'!F50/'Income Statement'!F21</f>
        <v>2.1597967250141164E-2</v>
      </c>
      <c r="H28" s="67">
        <f>'Income Statement'!G50/'Income Statement'!G21</f>
        <v>2.7442246715989733E-2</v>
      </c>
      <c r="I28" s="68">
        <v>6.5000000000000002E-2</v>
      </c>
      <c r="J28" s="66">
        <v>5.7000000000000002E-2</v>
      </c>
      <c r="K28" s="66">
        <v>5.7000000000000002E-2</v>
      </c>
      <c r="L28" s="66">
        <v>5.7000000000000002E-2</v>
      </c>
      <c r="M28" s="66">
        <v>5.7000000000000002E-2</v>
      </c>
    </row>
    <row r="29" spans="2:14">
      <c r="B29" s="65" t="s">
        <v>160</v>
      </c>
      <c r="C29" s="66">
        <f>C28</f>
        <v>1.156821144956738E-2</v>
      </c>
      <c r="D29" s="66">
        <f t="shared" ref="D29:H29" si="26">D28</f>
        <v>1.1480075901328273E-2</v>
      </c>
      <c r="E29" s="66">
        <f t="shared" si="26"/>
        <v>1.7467248908296942E-2</v>
      </c>
      <c r="F29" s="66">
        <f t="shared" si="26"/>
        <v>2.0587203181658673E-2</v>
      </c>
      <c r="G29" s="66">
        <f t="shared" si="26"/>
        <v>2.1597967250141164E-2</v>
      </c>
      <c r="H29" s="66">
        <f t="shared" si="26"/>
        <v>2.7442246715989733E-2</v>
      </c>
      <c r="I29" s="68">
        <f t="shared" ref="I29" si="27">I28</f>
        <v>6.5000000000000002E-2</v>
      </c>
      <c r="J29" s="66">
        <f t="shared" ref="J29" si="28">J28</f>
        <v>5.7000000000000002E-2</v>
      </c>
      <c r="K29" s="66">
        <f t="shared" ref="K29" si="29">K28</f>
        <v>5.7000000000000002E-2</v>
      </c>
      <c r="L29" s="66">
        <f t="shared" ref="L29" si="30">L28</f>
        <v>5.7000000000000002E-2</v>
      </c>
      <c r="M29" s="66">
        <f t="shared" ref="M29" si="31">M28</f>
        <v>5.7000000000000002E-2</v>
      </c>
    </row>
    <row r="31" spans="2:14">
      <c r="B31" s="73" t="s">
        <v>168</v>
      </c>
      <c r="I31" s="70">
        <f>CHOOSE(Title!$E$9, I32, I33, I34)</f>
        <v>2.5000000000000001E-2</v>
      </c>
      <c r="J31" s="71">
        <f>CHOOSE(Title!$E$9, J32, J33, J34)</f>
        <v>2.5000000000000001E-2</v>
      </c>
      <c r="K31" s="71">
        <f>CHOOSE(Title!$E$9, K32, K33, K34)</f>
        <v>2.5000000000000001E-2</v>
      </c>
      <c r="L31" s="71">
        <f>CHOOSE(Title!$E$9, L32, L33, L34)</f>
        <v>2.5000000000000001E-2</v>
      </c>
      <c r="M31" s="72">
        <f>CHOOSE(Title!$E$9, M32, M33, M34)</f>
        <v>2.5000000000000001E-2</v>
      </c>
    </row>
    <row r="32" spans="2:14">
      <c r="B32" s="65" t="s">
        <v>159</v>
      </c>
      <c r="C32" s="66"/>
      <c r="D32" s="66"/>
      <c r="E32" s="66"/>
      <c r="F32" s="66"/>
      <c r="G32" s="66"/>
      <c r="H32" s="66"/>
      <c r="I32" s="68">
        <f t="shared" ref="I32" si="32">I33</f>
        <v>2.5000000000000001E-2</v>
      </c>
      <c r="J32" s="66">
        <f t="shared" ref="J32" si="33">J33</f>
        <v>2.5000000000000001E-2</v>
      </c>
      <c r="K32" s="66">
        <f t="shared" ref="K32" si="34">K33</f>
        <v>2.5000000000000001E-2</v>
      </c>
      <c r="L32" s="66">
        <f t="shared" ref="L32" si="35">L33</f>
        <v>2.5000000000000001E-2</v>
      </c>
      <c r="M32" s="66">
        <f t="shared" ref="M32" si="36">M33</f>
        <v>2.5000000000000001E-2</v>
      </c>
    </row>
    <row r="33" spans="2:15">
      <c r="B33" s="65" t="s">
        <v>158</v>
      </c>
      <c r="C33" s="67"/>
      <c r="D33" s="67"/>
      <c r="E33" s="67"/>
      <c r="F33" s="67"/>
      <c r="G33" s="67"/>
      <c r="H33" s="67"/>
      <c r="I33" s="68">
        <v>2.5000000000000001E-2</v>
      </c>
      <c r="J33" s="69">
        <v>2.5000000000000001E-2</v>
      </c>
      <c r="K33" s="69">
        <v>2.5000000000000001E-2</v>
      </c>
      <c r="L33" s="69">
        <v>2.5000000000000001E-2</v>
      </c>
      <c r="M33" s="69">
        <v>2.5000000000000001E-2</v>
      </c>
    </row>
    <row r="34" spans="2:15">
      <c r="B34" s="65" t="s">
        <v>160</v>
      </c>
      <c r="C34" s="66"/>
      <c r="D34" s="66"/>
      <c r="E34" s="66"/>
      <c r="F34" s="66"/>
      <c r="G34" s="66"/>
      <c r="H34" s="66"/>
      <c r="I34" s="68">
        <f t="shared" ref="I34" si="37">I33</f>
        <v>2.5000000000000001E-2</v>
      </c>
      <c r="J34" s="66">
        <f t="shared" ref="J34" si="38">J33</f>
        <v>2.5000000000000001E-2</v>
      </c>
      <c r="K34" s="66">
        <f t="shared" ref="K34" si="39">K33</f>
        <v>2.5000000000000001E-2</v>
      </c>
      <c r="L34" s="66">
        <f t="shared" ref="L34" si="40">L33</f>
        <v>2.5000000000000001E-2</v>
      </c>
      <c r="M34" s="66">
        <f t="shared" ref="M34" si="41">M33</f>
        <v>2.5000000000000001E-2</v>
      </c>
    </row>
    <row r="35" spans="2:15">
      <c r="B35" s="74"/>
      <c r="C35" s="74"/>
      <c r="I35" s="64"/>
    </row>
    <row r="36" spans="2:15">
      <c r="B36" s="73" t="s">
        <v>169</v>
      </c>
      <c r="C36" s="76"/>
      <c r="I36" s="64"/>
    </row>
    <row r="37" spans="2:15">
      <c r="B37" s="52" t="s">
        <v>170</v>
      </c>
      <c r="C37" s="77">
        <f>'Balance Sheet'!B21/1000/'Income Statement'!B21</f>
        <v>0.37888384496859073</v>
      </c>
      <c r="D37" s="77">
        <f>'Balance Sheet'!C21/'Income Statement'!C21</f>
        <v>0.37201138519924098</v>
      </c>
      <c r="E37" s="77">
        <f>'Balance Sheet'!D21/'Income Statement'!D21</f>
        <v>0.37072730010540583</v>
      </c>
      <c r="F37" s="77">
        <f>'Balance Sheet'!E21/'Income Statement'!E21</f>
        <v>0.36109486489647913</v>
      </c>
      <c r="G37" s="77">
        <f>'Balance Sheet'!F21/'Income Statement'!F21</f>
        <v>0.36636551853943156</v>
      </c>
      <c r="H37" s="77">
        <f>'Balance Sheet'!G21/'Income Statement'!G21</f>
        <v>0.3676204137097992</v>
      </c>
      <c r="I37" s="84">
        <f>AVERAGE($D$37:$H$37)</f>
        <v>0.36756389649007126</v>
      </c>
      <c r="J37" s="85">
        <f t="shared" ref="J37:M37" si="42">AVERAGE($D$37:$H$37)</f>
        <v>0.36756389649007126</v>
      </c>
      <c r="K37" s="85">
        <f t="shared" si="42"/>
        <v>0.36756389649007126</v>
      </c>
      <c r="L37" s="85">
        <f t="shared" si="42"/>
        <v>0.36756389649007126</v>
      </c>
      <c r="M37" s="85">
        <f t="shared" si="42"/>
        <v>0.36756389649007126</v>
      </c>
      <c r="N37" s="53"/>
      <c r="O37" s="53"/>
    </row>
    <row r="38" spans="2:15">
      <c r="B38" s="52" t="s">
        <v>171</v>
      </c>
      <c r="C38" s="77">
        <f>'Balance Sheet'!B49/1000/'Income Statement'!B21</f>
        <v>0.65696361265852787</v>
      </c>
      <c r="D38" s="77">
        <f>'Balance Sheet'!C49/'Income Statement'!C21</f>
        <v>0.66366223908918409</v>
      </c>
      <c r="E38" s="77">
        <f>'Balance Sheet'!D49/'Income Statement'!D21</f>
        <v>0.64478241228730615</v>
      </c>
      <c r="F38" s="77">
        <f>'Balance Sheet'!E49/'Income Statement'!E21</f>
        <v>0.62358170546262726</v>
      </c>
      <c r="G38" s="77">
        <f>'Balance Sheet'!F49/'Income Statement'!F21</f>
        <v>0.5932147562582345</v>
      </c>
      <c r="H38" s="77">
        <f>'Balance Sheet'!G49/'Income Statement'!G21</f>
        <v>0.58991393628265132</v>
      </c>
      <c r="I38" s="84">
        <f>H38</f>
        <v>0.58991393628265132</v>
      </c>
      <c r="J38" s="85">
        <f t="shared" ref="J38:M38" si="43">I38</f>
        <v>0.58991393628265132</v>
      </c>
      <c r="K38" s="85">
        <f t="shared" si="43"/>
        <v>0.58991393628265132</v>
      </c>
      <c r="L38" s="85">
        <f t="shared" si="43"/>
        <v>0.58991393628265132</v>
      </c>
      <c r="M38" s="85">
        <f t="shared" si="43"/>
        <v>0.58991393628265132</v>
      </c>
    </row>
    <row r="39" spans="2:15">
      <c r="B39" s="52" t="s">
        <v>173</v>
      </c>
      <c r="C39" s="53">
        <f>'Balance Sheet'!B44/1000/'Income Statement'!B21</f>
        <v>0.20773545098968826</v>
      </c>
      <c r="D39" s="53">
        <f>SUM('Balance Sheet'!C43:C46)/'Income Statement'!C21</f>
        <v>0.19421252371916509</v>
      </c>
      <c r="E39" s="77">
        <f>'Balance Sheet'!D44/'Income Statement'!D21</f>
        <v>0.20260502936304772</v>
      </c>
      <c r="F39" s="77">
        <f>'Balance Sheet'!E44/'Income Statement'!E21</f>
        <v>0.20078371739384723</v>
      </c>
      <c r="G39" s="77">
        <f>'Balance Sheet'!F44/'Income Statement'!F21</f>
        <v>0.2049218897044984</v>
      </c>
      <c r="H39" s="77">
        <f>'Balance Sheet'!G44/'Income Statement'!G21</f>
        <v>0.20662841612562283</v>
      </c>
      <c r="I39" s="84">
        <f>AVERAGE($C$39:$H$39)</f>
        <v>0.2028145045493116</v>
      </c>
      <c r="J39" s="85">
        <f t="shared" ref="J39:M39" si="44">AVERAGE($C$39:$H$39)</f>
        <v>0.2028145045493116</v>
      </c>
      <c r="K39" s="85">
        <f t="shared" si="44"/>
        <v>0.2028145045493116</v>
      </c>
      <c r="L39" s="85">
        <f t="shared" si="44"/>
        <v>0.2028145045493116</v>
      </c>
      <c r="M39" s="85">
        <f t="shared" si="44"/>
        <v>0.2028145045493116</v>
      </c>
    </row>
    <row r="40" spans="2:15">
      <c r="B40" s="52" t="s">
        <v>172</v>
      </c>
      <c r="C40" s="83">
        <f>'Balance Sheet'!B22/1000/'Income Statement'!B21</f>
        <v>3.3131089249733313E-2</v>
      </c>
      <c r="D40" s="83">
        <f>'Balance Sheet'!C22/'Income Statement'!C21</f>
        <v>4.4686907020872864E-2</v>
      </c>
      <c r="E40" s="83">
        <f>'Balance Sheet'!D22/'Income Statement'!D21</f>
        <v>4.735732570396025E-2</v>
      </c>
      <c r="F40" s="83">
        <f>'Balance Sheet'!E22/'Income Statement'!E21</f>
        <v>5.3573517370452683E-2</v>
      </c>
      <c r="G40" s="83">
        <f>'Balance Sheet'!F22/'Income Statement'!F21</f>
        <v>4.6630905326557504E-2</v>
      </c>
      <c r="H40" s="83">
        <f>'Balance Sheet'!G22/'Income Statement'!G21</f>
        <v>4.2276913785293677E-2</v>
      </c>
      <c r="I40" s="84">
        <f>AVERAGE($C$40:$H$40)</f>
        <v>4.4609443076145054E-2</v>
      </c>
      <c r="J40" s="85">
        <f t="shared" ref="J40:M40" si="45">AVERAGE($C$40:$H$40)</f>
        <v>4.4609443076145054E-2</v>
      </c>
      <c r="K40" s="85">
        <f t="shared" si="45"/>
        <v>4.4609443076145054E-2</v>
      </c>
      <c r="L40" s="85">
        <f t="shared" si="45"/>
        <v>4.4609443076145054E-2</v>
      </c>
      <c r="M40" s="85">
        <f t="shared" si="45"/>
        <v>4.4609443076145054E-2</v>
      </c>
    </row>
    <row r="41" spans="2:15">
      <c r="B41" s="74" t="s">
        <v>206</v>
      </c>
      <c r="C41" s="78"/>
      <c r="H41" s="53"/>
      <c r="I41" s="53"/>
      <c r="J41" s="53"/>
      <c r="K41" s="53"/>
      <c r="L41" s="53"/>
      <c r="M41" s="53"/>
    </row>
    <row r="43" spans="2:15">
      <c r="B43" s="73" t="s">
        <v>203</v>
      </c>
      <c r="I43" s="70">
        <f>CHOOSE(Title!$E$9, I44, I45, I46)</f>
        <v>0.22941468253124822</v>
      </c>
      <c r="J43" s="71">
        <f>CHOOSE(Title!$E$9, J44, J45, J46)</f>
        <v>0.22351945272041782</v>
      </c>
      <c r="K43" s="71">
        <f>CHOOSE(Title!$E$9, K44, K45, K46)</f>
        <v>0.21692386498596497</v>
      </c>
      <c r="L43" s="71">
        <f>CHOOSE(Title!$E$9, L44, L45, L46)</f>
        <v>0.20977362123180626</v>
      </c>
      <c r="M43" s="72">
        <f>CHOOSE(Title!$E$9, M44, M45, M46)</f>
        <v>0.20345426005721884</v>
      </c>
    </row>
    <row r="44" spans="2:15">
      <c r="B44" s="65" t="s">
        <v>159</v>
      </c>
      <c r="C44" s="66">
        <f>C45</f>
        <v>0.2647860613962309</v>
      </c>
      <c r="D44" s="66">
        <f t="shared" ref="D44:I44" si="46">D45</f>
        <v>0.26309297912713475</v>
      </c>
      <c r="E44" s="66">
        <f t="shared" si="46"/>
        <v>0.25982532751091703</v>
      </c>
      <c r="F44" s="66">
        <f t="shared" si="46"/>
        <v>0.24768978827933091</v>
      </c>
      <c r="G44" s="66">
        <f t="shared" si="46"/>
        <v>0.25588179936006022</v>
      </c>
      <c r="H44" s="66">
        <f t="shared" si="46"/>
        <v>0.2652121395138155</v>
      </c>
      <c r="I44" s="68">
        <f t="shared" si="46"/>
        <v>0.22941468253124822</v>
      </c>
      <c r="J44" s="66">
        <f>I44</f>
        <v>0.22941468253124822</v>
      </c>
      <c r="K44" s="66">
        <f t="shared" ref="K44:M44" si="47">J44</f>
        <v>0.22941468253124822</v>
      </c>
      <c r="L44" s="66">
        <f t="shared" si="47"/>
        <v>0.22941468253124822</v>
      </c>
      <c r="M44" s="66">
        <f t="shared" si="47"/>
        <v>0.22941468253124822</v>
      </c>
    </row>
    <row r="45" spans="2:15">
      <c r="B45" s="65" t="s">
        <v>158</v>
      </c>
      <c r="C45" s="67">
        <f>-('Income Statement'!B24+'Income Statement'!B25)/'Income Statement'!B21</f>
        <v>0.2647860613962309</v>
      </c>
      <c r="D45" s="67">
        <f>-('Income Statement'!C24+'Income Statement'!C25)/'Income Statement'!C21</f>
        <v>0.26309297912713475</v>
      </c>
      <c r="E45" s="67">
        <f>-('Income Statement'!D24+'Income Statement'!D25)/'Income Statement'!D21</f>
        <v>0.25982532751091703</v>
      </c>
      <c r="F45" s="67">
        <f>-('Income Statement'!E24+'Income Statement'!E25)/'Income Statement'!E21</f>
        <v>0.24768978827933091</v>
      </c>
      <c r="G45" s="67">
        <f>-('Income Statement'!F24+'Income Statement'!F25)/'Income Statement'!F21</f>
        <v>0.25588179936006022</v>
      </c>
      <c r="H45" s="67">
        <f>-('Income Statement'!G24+'Income Statement'!G25)/'Income Statement'!G21</f>
        <v>0.2652121395138155</v>
      </c>
      <c r="I45" s="68">
        <f>AVERAGE(C45:H45)-0.03</f>
        <v>0.22941468253124822</v>
      </c>
      <c r="J45" s="159">
        <f t="shared" ref="J45:M45" si="48">AVERAGE(D45:I45)-0.03</f>
        <v>0.22351945272041782</v>
      </c>
      <c r="K45" s="159">
        <f t="shared" si="48"/>
        <v>0.21692386498596497</v>
      </c>
      <c r="L45" s="158">
        <f t="shared" si="48"/>
        <v>0.20977362123180626</v>
      </c>
      <c r="M45" s="69">
        <f t="shared" si="48"/>
        <v>0.20345426005721884</v>
      </c>
    </row>
    <row r="46" spans="2:15">
      <c r="B46" s="65" t="s">
        <v>160</v>
      </c>
      <c r="C46" s="66">
        <f>C45</f>
        <v>0.2647860613962309</v>
      </c>
      <c r="D46" s="66">
        <f t="shared" ref="D46:I46" si="49">D45</f>
        <v>0.26309297912713475</v>
      </c>
      <c r="E46" s="66">
        <f t="shared" si="49"/>
        <v>0.25982532751091703</v>
      </c>
      <c r="F46" s="66">
        <f t="shared" si="49"/>
        <v>0.24768978827933091</v>
      </c>
      <c r="G46" s="66">
        <f t="shared" si="49"/>
        <v>0.25588179936006022</v>
      </c>
      <c r="H46" s="66">
        <f t="shared" si="49"/>
        <v>0.2652121395138155</v>
      </c>
      <c r="I46" s="68">
        <f t="shared" si="49"/>
        <v>0.22941468253124822</v>
      </c>
      <c r="J46" s="66">
        <f>I46-0.002</f>
        <v>0.22741468253124822</v>
      </c>
      <c r="K46" s="66">
        <f t="shared" ref="K46:M46" si="50">J46-0.002</f>
        <v>0.22541468253124822</v>
      </c>
      <c r="L46" s="66">
        <f t="shared" si="50"/>
        <v>0.22341468253124822</v>
      </c>
      <c r="M46" s="66">
        <f t="shared" si="50"/>
        <v>0.22141468253124821</v>
      </c>
    </row>
    <row r="49" spans="2:13">
      <c r="B49" s="73" t="s">
        <v>211</v>
      </c>
      <c r="C49" s="119">
        <f>CHOOSE(Title!E9, C50,C51,C52)</f>
        <v>0.03</v>
      </c>
    </row>
    <row r="50" spans="2:13">
      <c r="C50" s="118">
        <v>2.75E-2</v>
      </c>
    </row>
    <row r="51" spans="2:13">
      <c r="C51" s="118">
        <v>0.03</v>
      </c>
    </row>
    <row r="52" spans="2:13">
      <c r="C52" s="118">
        <v>3.5000000000000003E-2</v>
      </c>
    </row>
    <row r="54" spans="2:13">
      <c r="B54" s="73" t="s">
        <v>236</v>
      </c>
      <c r="C54" s="121">
        <f>CHOOSE(Title!E9, C55,C56,C57)</f>
        <v>5</v>
      </c>
    </row>
    <row r="55" spans="2:13">
      <c r="C55" s="120">
        <v>4.75</v>
      </c>
    </row>
    <row r="56" spans="2:13">
      <c r="C56" s="120">
        <v>5</v>
      </c>
    </row>
    <row r="57" spans="2:13">
      <c r="C57" s="120">
        <v>5.5</v>
      </c>
    </row>
    <row r="59" spans="2:13">
      <c r="C59" s="162">
        <v>40939</v>
      </c>
      <c r="D59" s="162">
        <f>EOMONTH(C59,12)</f>
        <v>41305</v>
      </c>
      <c r="E59" s="162">
        <f t="shared" ref="E59:M59" si="51">EOMONTH(D59,12)</f>
        <v>41670</v>
      </c>
      <c r="F59" s="162">
        <f t="shared" si="51"/>
        <v>42035</v>
      </c>
      <c r="G59" s="162">
        <f t="shared" si="51"/>
        <v>42400</v>
      </c>
      <c r="H59" s="162">
        <f t="shared" si="51"/>
        <v>42766</v>
      </c>
      <c r="I59" s="162">
        <f t="shared" si="51"/>
        <v>43131</v>
      </c>
      <c r="J59" s="162">
        <f t="shared" si="51"/>
        <v>43496</v>
      </c>
      <c r="K59" s="162">
        <f t="shared" si="51"/>
        <v>43861</v>
      </c>
      <c r="L59" s="162">
        <f t="shared" si="51"/>
        <v>44227</v>
      </c>
      <c r="M59" s="162">
        <f t="shared" si="51"/>
        <v>44592</v>
      </c>
    </row>
    <row r="60" spans="2:13">
      <c r="B60" s="73" t="s">
        <v>207</v>
      </c>
      <c r="C60" s="160">
        <v>422.69900000000001</v>
      </c>
      <c r="D60" s="160">
        <v>579.745</v>
      </c>
      <c r="E60" s="160">
        <v>2617.3020000000001</v>
      </c>
      <c r="F60" s="160">
        <v>-38.070999999999998</v>
      </c>
      <c r="G60" s="160">
        <v>58.68</v>
      </c>
      <c r="H60" s="160">
        <v>3193</v>
      </c>
      <c r="I60" s="160">
        <v>25</v>
      </c>
      <c r="J60" s="160">
        <v>5115</v>
      </c>
      <c r="K60" s="160">
        <v>369</v>
      </c>
      <c r="L60" s="160">
        <v>1281</v>
      </c>
      <c r="M60" s="160">
        <v>14876</v>
      </c>
    </row>
    <row r="61" spans="2:13">
      <c r="B61" s="52" t="s">
        <v>177</v>
      </c>
      <c r="C61" s="163">
        <v>2266.5</v>
      </c>
      <c r="D61" s="163">
        <v>3050.2</v>
      </c>
      <c r="E61" s="163">
        <v>4071</v>
      </c>
      <c r="F61" s="163">
        <v>5373.6</v>
      </c>
      <c r="G61" s="163">
        <v>6667.2</v>
      </c>
      <c r="H61" s="44">
        <v>8437</v>
      </c>
      <c r="I61" s="44">
        <v>10540</v>
      </c>
      <c r="J61" s="44">
        <v>13282</v>
      </c>
      <c r="K61" s="44">
        <v>17098</v>
      </c>
      <c r="L61" s="44">
        <v>21252</v>
      </c>
      <c r="M61" s="44">
        <v>26492</v>
      </c>
    </row>
    <row r="62" spans="2:13">
      <c r="B62" s="52" t="s">
        <v>259</v>
      </c>
      <c r="C62" s="142">
        <f>C60/C61</f>
        <v>0.18649856607103463</v>
      </c>
      <c r="D62" s="142">
        <f t="shared" ref="D62:M62" si="52">D60/D61</f>
        <v>0.19006786440233428</v>
      </c>
      <c r="E62" s="142">
        <f t="shared" si="52"/>
        <v>0.64291378039793667</v>
      </c>
      <c r="F62" s="142">
        <f t="shared" si="52"/>
        <v>-7.0848220931963666E-3</v>
      </c>
      <c r="G62" s="142">
        <f t="shared" si="52"/>
        <v>8.8012958963282935E-3</v>
      </c>
      <c r="H62" s="142">
        <f t="shared" si="52"/>
        <v>0.3784520564181581</v>
      </c>
      <c r="I62" s="142">
        <f t="shared" si="52"/>
        <v>2.3719165085388993E-3</v>
      </c>
      <c r="J62" s="142">
        <f t="shared" si="52"/>
        <v>0.38510766450835715</v>
      </c>
      <c r="K62" s="142">
        <f t="shared" si="52"/>
        <v>2.1581471517136509E-2</v>
      </c>
      <c r="L62" s="142">
        <f>L60/L61</f>
        <v>6.0276679841897232E-2</v>
      </c>
      <c r="M62" s="142">
        <f t="shared" si="52"/>
        <v>0.56152800845538275</v>
      </c>
    </row>
    <row r="63" spans="2:13">
      <c r="B63" s="52" t="s">
        <v>260</v>
      </c>
      <c r="C63" s="142">
        <f>AVERAGE(C62:M62)</f>
        <v>0.22095586199308259</v>
      </c>
    </row>
    <row r="65" spans="2:15">
      <c r="B65" s="181" t="s">
        <v>159</v>
      </c>
      <c r="I65" s="70">
        <f>CHOOSE(Title!$E$9, I66, I67, I68)</f>
        <v>0.04</v>
      </c>
      <c r="J65" s="71">
        <f>CHOOSE(Title!$E$9, J66, J67, J68)</f>
        <v>3.6000000000000004E-2</v>
      </c>
      <c r="K65" s="71">
        <f>CHOOSE(Title!$E$9, K66, K67, K68)</f>
        <v>3.2400000000000005E-2</v>
      </c>
      <c r="L65" s="71">
        <f>CHOOSE(Title!$E$9, L66, L67, L68)</f>
        <v>2.9160000000000005E-2</v>
      </c>
      <c r="M65" s="72">
        <f>CHOOSE(Title!$E$9, M66, M67, M68)</f>
        <v>2.6244000000000007E-2</v>
      </c>
      <c r="N65" s="72">
        <f>CHOOSE(Title!$E$9, N66, N67, N68)</f>
        <v>1.9683000000000006E-2</v>
      </c>
    </row>
    <row r="66" spans="2:15">
      <c r="B66" s="181" t="s">
        <v>158</v>
      </c>
      <c r="I66" s="68">
        <v>0.06</v>
      </c>
      <c r="J66" s="68">
        <f>I66*0.95</f>
        <v>5.6999999999999995E-2</v>
      </c>
      <c r="K66" s="68">
        <f t="shared" ref="K66:N66" si="53">J66*0.95</f>
        <v>5.414999999999999E-2</v>
      </c>
      <c r="L66" s="68">
        <f t="shared" si="53"/>
        <v>5.1442499999999988E-2</v>
      </c>
      <c r="M66" s="68">
        <f t="shared" si="53"/>
        <v>4.8870374999999987E-2</v>
      </c>
      <c r="N66" s="68">
        <f t="shared" si="53"/>
        <v>4.6426856249999988E-2</v>
      </c>
      <c r="O66" s="52" t="s">
        <v>271</v>
      </c>
    </row>
    <row r="67" spans="2:15">
      <c r="B67" s="181" t="s">
        <v>160</v>
      </c>
      <c r="I67" s="157">
        <v>0.04</v>
      </c>
      <c r="J67" s="159">
        <f>(I67)*0.9</f>
        <v>3.6000000000000004E-2</v>
      </c>
      <c r="K67" s="159">
        <f>(J67)*0.9</f>
        <v>3.2400000000000005E-2</v>
      </c>
      <c r="L67" s="159">
        <f>(K67)*0.9</f>
        <v>2.9160000000000005E-2</v>
      </c>
      <c r="M67" s="159">
        <f>(L67)*0.9</f>
        <v>2.6244000000000007E-2</v>
      </c>
      <c r="N67" s="66">
        <f>M67*0.75</f>
        <v>1.9683000000000006E-2</v>
      </c>
      <c r="O67" s="52" t="s">
        <v>272</v>
      </c>
    </row>
    <row r="68" spans="2:15">
      <c r="I68" s="157">
        <v>0.02</v>
      </c>
      <c r="J68" s="159">
        <f>I68*0.9</f>
        <v>1.8000000000000002E-2</v>
      </c>
      <c r="K68" s="159">
        <f t="shared" ref="K68:M68" si="54">J68*0.9</f>
        <v>1.6200000000000003E-2</v>
      </c>
      <c r="L68" s="159">
        <f t="shared" si="54"/>
        <v>1.4580000000000003E-2</v>
      </c>
      <c r="M68" s="159">
        <f t="shared" si="54"/>
        <v>1.3122000000000003E-2</v>
      </c>
      <c r="N68" s="66">
        <f>M68*0.75</f>
        <v>9.841500000000003E-3</v>
      </c>
      <c r="O68" s="52" t="s">
        <v>273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575A-46C7-D248-92DB-FBC89242D36B}">
  <sheetPr>
    <tabColor rgb="FF00B0F0"/>
  </sheetPr>
  <dimension ref="B2:AA115"/>
  <sheetViews>
    <sheetView showGridLines="0" topLeftCell="A76" workbookViewId="0">
      <selection activeCell="F86" sqref="F86"/>
    </sheetView>
  </sheetViews>
  <sheetFormatPr defaultColWidth="9" defaultRowHeight="15"/>
  <cols>
    <col min="1" max="1" width="9" style="52"/>
    <col min="2" max="2" width="25.875" style="52" customWidth="1"/>
    <col min="3" max="3" width="29.125" style="52" bestFit="1" customWidth="1"/>
    <col min="4" max="4" width="10" style="52" customWidth="1"/>
    <col min="5" max="5" width="13" style="52" bestFit="1" customWidth="1"/>
    <col min="6" max="6" width="12.125" style="52" bestFit="1" customWidth="1"/>
    <col min="7" max="7" width="21.625" style="52" bestFit="1" customWidth="1"/>
    <col min="8" max="8" width="14.875" style="52" customWidth="1"/>
    <col min="9" max="9" width="14.625" style="52" bestFit="1" customWidth="1"/>
    <col min="10" max="10" width="12.125" style="52" bestFit="1" customWidth="1"/>
    <col min="11" max="11" width="14.625" style="52" bestFit="1" customWidth="1"/>
    <col min="12" max="12" width="12.125" style="52" bestFit="1" customWidth="1"/>
    <col min="13" max="13" width="12.875" style="52" bestFit="1" customWidth="1"/>
    <col min="14" max="20" width="12.125" style="52" bestFit="1" customWidth="1"/>
    <col min="21" max="16384" width="9" style="52"/>
  </cols>
  <sheetData>
    <row r="2" spans="2:20" ht="15.75">
      <c r="C2" s="56" t="s">
        <v>281</v>
      </c>
      <c r="D2" s="56"/>
      <c r="E2" s="55"/>
      <c r="F2" s="55"/>
      <c r="G2" s="55"/>
      <c r="H2" s="55"/>
      <c r="I2" s="55"/>
      <c r="J2" s="55"/>
      <c r="K2" s="55"/>
      <c r="L2" s="55"/>
      <c r="M2"/>
      <c r="N2"/>
      <c r="O2"/>
      <c r="P2"/>
      <c r="Q2"/>
      <c r="R2"/>
      <c r="S2"/>
      <c r="T2"/>
    </row>
    <row r="3" spans="2:20" ht="15.75">
      <c r="C3" s="57" t="s">
        <v>155</v>
      </c>
      <c r="D3" s="57"/>
      <c r="M3"/>
      <c r="N3"/>
      <c r="O3"/>
      <c r="P3"/>
      <c r="Q3"/>
      <c r="R3"/>
      <c r="S3"/>
      <c r="T3"/>
    </row>
    <row r="4" spans="2:20" ht="15.75">
      <c r="C4" s="205"/>
      <c r="D4" s="205"/>
      <c r="E4" s="60" t="str">
        <f>"FY"&amp;YEAR(E5)</f>
        <v>FY2020</v>
      </c>
      <c r="F4" s="60" t="str">
        <f t="shared" ref="F4:L4" si="0">"FY"&amp;YEAR(F5)</f>
        <v>FY2021</v>
      </c>
      <c r="G4" s="60" t="str">
        <f t="shared" si="0"/>
        <v>FY2022</v>
      </c>
      <c r="H4" s="60" t="str">
        <f t="shared" si="0"/>
        <v>FY2023</v>
      </c>
      <c r="I4" s="60" t="str">
        <f t="shared" si="0"/>
        <v>FY2024</v>
      </c>
      <c r="J4" s="60" t="str">
        <f t="shared" si="0"/>
        <v>FY2025</v>
      </c>
      <c r="K4" s="60" t="str">
        <f t="shared" si="0"/>
        <v>FY2026</v>
      </c>
      <c r="L4" s="60" t="str">
        <f t="shared" si="0"/>
        <v>FY2027</v>
      </c>
      <c r="M4"/>
      <c r="N4"/>
      <c r="O4"/>
      <c r="P4"/>
      <c r="Q4"/>
      <c r="R4"/>
      <c r="S4"/>
      <c r="T4"/>
    </row>
    <row r="5" spans="2:20" ht="15.75">
      <c r="C5" s="174" t="s">
        <v>258</v>
      </c>
      <c r="D5" s="175">
        <v>0.11799999999999999</v>
      </c>
      <c r="E5" s="61">
        <v>43861</v>
      </c>
      <c r="F5" s="61">
        <f>EOMONTH(E5, 12)</f>
        <v>44227</v>
      </c>
      <c r="G5" s="61">
        <f t="shared" ref="G5:J5" si="1">EOMONTH(F5, 12)</f>
        <v>44592</v>
      </c>
      <c r="H5" s="61">
        <f>EOMONTH(G5, 12)</f>
        <v>44957</v>
      </c>
      <c r="I5" s="61">
        <f t="shared" si="1"/>
        <v>45322</v>
      </c>
      <c r="J5" s="61">
        <f t="shared" si="1"/>
        <v>45688</v>
      </c>
      <c r="K5" s="61">
        <f t="shared" ref="K5" si="2">EOMONTH(J5, 12)</f>
        <v>46053</v>
      </c>
      <c r="L5" s="61">
        <f t="shared" ref="L5" si="3">EOMONTH(K5, 12)</f>
        <v>46418</v>
      </c>
      <c r="M5"/>
      <c r="N5"/>
      <c r="O5"/>
      <c r="P5"/>
      <c r="Q5"/>
      <c r="R5"/>
      <c r="S5"/>
      <c r="T5"/>
    </row>
    <row r="6" spans="2:20" ht="15.75">
      <c r="B6" s="226" t="s">
        <v>242</v>
      </c>
      <c r="C6" s="201" t="s">
        <v>243</v>
      </c>
      <c r="D6" s="202"/>
      <c r="E6" s="146">
        <v>17463</v>
      </c>
      <c r="F6" s="146">
        <v>20110</v>
      </c>
      <c r="G6" s="146">
        <f>F6*(1+$D$5-0.01)</f>
        <v>22281.879999999997</v>
      </c>
      <c r="H6" s="146">
        <f>G6*(1+$D$5-0.01)</f>
        <v>24688.323039999996</v>
      </c>
      <c r="I6" s="146">
        <f t="shared" ref="I6:L6" si="4">H6*(1+$D$5-0.01)</f>
        <v>27354.661928319991</v>
      </c>
      <c r="J6" s="146">
        <f t="shared" si="4"/>
        <v>30308.965416578547</v>
      </c>
      <c r="K6" s="146">
        <f t="shared" si="4"/>
        <v>33582.333681569027</v>
      </c>
      <c r="L6" s="146">
        <f t="shared" si="4"/>
        <v>37209.225719178481</v>
      </c>
      <c r="M6"/>
      <c r="N6"/>
      <c r="O6"/>
      <c r="P6"/>
      <c r="Q6"/>
      <c r="R6"/>
      <c r="S6"/>
      <c r="T6"/>
    </row>
    <row r="7" spans="2:20" ht="15.75">
      <c r="B7" s="226"/>
      <c r="C7" s="201" t="s">
        <v>244</v>
      </c>
      <c r="D7" s="202"/>
      <c r="E7" s="146">
        <v>5191</v>
      </c>
      <c r="F7" s="146">
        <v>5989</v>
      </c>
      <c r="G7" s="146"/>
      <c r="H7" s="146"/>
      <c r="I7" s="146"/>
      <c r="J7" s="146"/>
      <c r="K7" s="146"/>
      <c r="L7" s="166"/>
      <c r="M7"/>
      <c r="N7"/>
      <c r="O7"/>
      <c r="P7"/>
      <c r="Q7"/>
      <c r="R7"/>
      <c r="S7"/>
      <c r="T7"/>
    </row>
    <row r="8" spans="2:20" ht="15.75">
      <c r="B8" s="226"/>
      <c r="C8" s="203" t="s">
        <v>255</v>
      </c>
      <c r="D8" s="204"/>
      <c r="G8" s="146">
        <f>G12*G6</f>
        <v>6635.811999999999</v>
      </c>
      <c r="H8" s="146">
        <f>H12*H6</f>
        <v>7303.1030499199987</v>
      </c>
      <c r="I8" s="146">
        <f t="shared" ref="I8:L8" si="5">I12*I6</f>
        <v>8037.1288554547173</v>
      </c>
      <c r="J8" s="146">
        <f t="shared" si="5"/>
        <v>8844.5208410106679</v>
      </c>
      <c r="K8" s="146">
        <f t="shared" si="5"/>
        <v>9732.5644244766827</v>
      </c>
      <c r="L8" s="166">
        <f t="shared" si="5"/>
        <v>10709.262930881807</v>
      </c>
      <c r="M8"/>
      <c r="N8"/>
      <c r="O8"/>
      <c r="P8"/>
      <c r="Q8"/>
      <c r="R8"/>
      <c r="S8"/>
      <c r="T8"/>
    </row>
    <row r="9" spans="2:20" ht="15.75">
      <c r="B9" s="226"/>
      <c r="C9" s="203" t="s">
        <v>256</v>
      </c>
      <c r="D9" s="204"/>
      <c r="G9" s="146">
        <f>G13*G6</f>
        <v>6635.811999999999</v>
      </c>
      <c r="H9" s="146">
        <f t="shared" ref="H9:L9" si="6">H13*H6</f>
        <v>7364.8238575199985</v>
      </c>
      <c r="I9" s="146">
        <f t="shared" si="6"/>
        <v>8173.9021650963177</v>
      </c>
      <c r="J9" s="146">
        <f t="shared" si="6"/>
        <v>9071.8380816350073</v>
      </c>
      <c r="K9" s="146">
        <f t="shared" si="6"/>
        <v>10068.387761292373</v>
      </c>
      <c r="L9" s="166">
        <f t="shared" si="6"/>
        <v>11174.378252371538</v>
      </c>
      <c r="M9"/>
      <c r="N9"/>
      <c r="O9"/>
      <c r="P9"/>
      <c r="Q9"/>
      <c r="R9"/>
      <c r="S9"/>
      <c r="T9"/>
    </row>
    <row r="10" spans="2:20" ht="15.75">
      <c r="B10" s="226"/>
      <c r="C10" s="203" t="s">
        <v>257</v>
      </c>
      <c r="D10" s="204"/>
      <c r="G10" s="146">
        <f>G14*G6</f>
        <v>6635.811999999999</v>
      </c>
      <c r="H10" s="146">
        <f t="shared" ref="H10:L10" si="7">H14*H6</f>
        <v>7426.5446651199991</v>
      </c>
      <c r="I10" s="146">
        <f t="shared" si="7"/>
        <v>8310.6754747379182</v>
      </c>
      <c r="J10" s="146">
        <f t="shared" si="7"/>
        <v>9299.1553222593466</v>
      </c>
      <c r="K10" s="146">
        <f t="shared" si="7"/>
        <v>10404.211098108064</v>
      </c>
      <c r="L10" s="166">
        <f t="shared" si="7"/>
        <v>11639.493573861269</v>
      </c>
      <c r="M10"/>
      <c r="N10"/>
      <c r="O10"/>
      <c r="P10"/>
      <c r="Q10"/>
      <c r="R10"/>
      <c r="S10"/>
      <c r="T10"/>
    </row>
    <row r="11" spans="2:20" ht="15.75">
      <c r="B11" s="226"/>
      <c r="C11" s="201" t="s">
        <v>245</v>
      </c>
      <c r="D11" s="202"/>
      <c r="E11" s="117">
        <f>E7/E6</f>
        <v>0.29725705777930483</v>
      </c>
      <c r="F11" s="117">
        <f>F7/F6</f>
        <v>0.29781203381402288</v>
      </c>
      <c r="L11" s="165"/>
      <c r="M11"/>
      <c r="N11"/>
      <c r="O11"/>
      <c r="P11"/>
      <c r="Q11"/>
      <c r="R11"/>
      <c r="S11"/>
      <c r="T11"/>
    </row>
    <row r="12" spans="2:20" ht="15.75">
      <c r="B12" s="226"/>
      <c r="C12" s="203" t="s">
        <v>255</v>
      </c>
      <c r="D12" s="204"/>
      <c r="E12" s="117"/>
      <c r="F12" s="117"/>
      <c r="G12" s="117">
        <f>G13</f>
        <v>0.29781203381402288</v>
      </c>
      <c r="H12" s="117">
        <f>G12-0.002</f>
        <v>0.29581203381402288</v>
      </c>
      <c r="I12" s="117">
        <f t="shared" ref="I12:L12" si="8">H12-0.002</f>
        <v>0.29381203381402288</v>
      </c>
      <c r="J12" s="117">
        <f t="shared" si="8"/>
        <v>0.29181203381402288</v>
      </c>
      <c r="K12" s="117">
        <f t="shared" si="8"/>
        <v>0.28981203381402287</v>
      </c>
      <c r="L12" s="167">
        <f t="shared" si="8"/>
        <v>0.28781203381402287</v>
      </c>
      <c r="M12"/>
      <c r="N12"/>
      <c r="O12"/>
      <c r="P12"/>
      <c r="Q12"/>
      <c r="R12"/>
      <c r="S12"/>
      <c r="T12"/>
    </row>
    <row r="13" spans="2:20" ht="15.75">
      <c r="B13" s="226"/>
      <c r="C13" s="203" t="s">
        <v>256</v>
      </c>
      <c r="D13" s="204"/>
      <c r="E13" s="117"/>
      <c r="F13" s="117"/>
      <c r="G13" s="117">
        <v>0.29781203381402288</v>
      </c>
      <c r="H13" s="117">
        <f>G13+0.0005</f>
        <v>0.29831203381402288</v>
      </c>
      <c r="I13" s="117">
        <f t="shared" ref="I13:L13" si="9">H13+0.0005</f>
        <v>0.29881203381402288</v>
      </c>
      <c r="J13" s="117">
        <f t="shared" si="9"/>
        <v>0.29931203381402288</v>
      </c>
      <c r="K13" s="117">
        <f t="shared" si="9"/>
        <v>0.29981203381402288</v>
      </c>
      <c r="L13" s="167">
        <f t="shared" si="9"/>
        <v>0.30031203381402288</v>
      </c>
      <c r="M13"/>
      <c r="N13"/>
      <c r="O13"/>
      <c r="P13"/>
      <c r="Q13"/>
      <c r="R13"/>
      <c r="S13"/>
      <c r="T13"/>
    </row>
    <row r="14" spans="2:20" ht="15.75">
      <c r="B14" s="226"/>
      <c r="C14" s="203" t="s">
        <v>257</v>
      </c>
      <c r="D14" s="204"/>
      <c r="E14" s="117"/>
      <c r="F14" s="117"/>
      <c r="G14" s="66">
        <f>G13</f>
        <v>0.29781203381402288</v>
      </c>
      <c r="H14" s="117">
        <f>G14+0.003</f>
        <v>0.30081203381402288</v>
      </c>
      <c r="I14" s="117">
        <f t="shared" ref="I14:L14" si="10">H14+0.003</f>
        <v>0.30381203381402289</v>
      </c>
      <c r="J14" s="117">
        <f t="shared" si="10"/>
        <v>0.30681203381402289</v>
      </c>
      <c r="K14" s="117">
        <f t="shared" si="10"/>
        <v>0.30981203381402289</v>
      </c>
      <c r="L14" s="167">
        <f t="shared" si="10"/>
        <v>0.31281203381402289</v>
      </c>
      <c r="M14"/>
      <c r="N14"/>
      <c r="O14"/>
      <c r="P14"/>
      <c r="Q14"/>
      <c r="R14"/>
      <c r="S14"/>
      <c r="T14"/>
    </row>
    <row r="15" spans="2:20" ht="15.75">
      <c r="B15" s="227"/>
      <c r="C15" s="173"/>
      <c r="D15" s="173"/>
      <c r="E15" s="117"/>
      <c r="F15" s="117"/>
      <c r="G15" s="66"/>
      <c r="H15" s="117"/>
      <c r="I15" s="117"/>
      <c r="J15" s="117"/>
      <c r="K15" s="117"/>
      <c r="L15" s="167"/>
      <c r="M15"/>
      <c r="N15"/>
      <c r="O15"/>
      <c r="P15"/>
      <c r="Q15"/>
      <c r="R15"/>
      <c r="S15"/>
      <c r="T15"/>
    </row>
    <row r="16" spans="2:20" ht="15.75">
      <c r="B16" s="228"/>
      <c r="C16" s="52" t="s">
        <v>258</v>
      </c>
      <c r="D16" s="144">
        <v>0.14099999999999999</v>
      </c>
      <c r="E16" s="151"/>
      <c r="F16" s="151"/>
      <c r="G16" s="151"/>
      <c r="H16" s="151"/>
      <c r="I16" s="151"/>
      <c r="J16" s="151"/>
      <c r="K16" s="151"/>
      <c r="L16" s="168"/>
      <c r="M16"/>
      <c r="N16"/>
      <c r="O16"/>
      <c r="P16"/>
      <c r="Q16"/>
      <c r="R16"/>
      <c r="S16"/>
      <c r="T16"/>
    </row>
    <row r="17" spans="2:20" ht="15.95" customHeight="1">
      <c r="B17" s="226" t="s">
        <v>246</v>
      </c>
      <c r="C17" s="199" t="s">
        <v>243</v>
      </c>
      <c r="D17" s="200"/>
      <c r="E17" s="146">
        <v>25683</v>
      </c>
      <c r="F17" s="146">
        <v>30498</v>
      </c>
      <c r="G17" s="146">
        <f>F17*(1+$D$16-0.01)</f>
        <v>34493.237999999998</v>
      </c>
      <c r="H17" s="146">
        <f>G17*(1+$D$16)</f>
        <v>39356.784557999999</v>
      </c>
      <c r="I17" s="146">
        <f>H17*(1+$D$16)</f>
        <v>44906.091180677999</v>
      </c>
      <c r="J17" s="146">
        <f>I17*(1+$D$16)</f>
        <v>51237.850037153599</v>
      </c>
      <c r="K17" s="146">
        <f>J17*(1+$D$16)</f>
        <v>58462.386892392256</v>
      </c>
      <c r="L17" s="166">
        <f>K17*(1+$D$16)</f>
        <v>66705.583444219563</v>
      </c>
      <c r="M17"/>
      <c r="N17"/>
      <c r="O17"/>
      <c r="P17"/>
      <c r="Q17"/>
      <c r="R17"/>
      <c r="S17"/>
      <c r="T17"/>
    </row>
    <row r="18" spans="2:20" ht="15.75">
      <c r="B18" s="226"/>
      <c r="C18" s="201" t="s">
        <v>244</v>
      </c>
      <c r="D18" s="202"/>
      <c r="E18" s="146">
        <v>5377</v>
      </c>
      <c r="F18" s="146">
        <v>6474</v>
      </c>
      <c r="G18" s="146"/>
      <c r="H18" s="146"/>
      <c r="I18" s="146"/>
      <c r="J18" s="146"/>
      <c r="K18" s="146"/>
      <c r="L18" s="166"/>
      <c r="M18"/>
      <c r="N18"/>
      <c r="O18"/>
      <c r="P18"/>
      <c r="Q18"/>
      <c r="R18"/>
      <c r="S18"/>
      <c r="T18"/>
    </row>
    <row r="19" spans="2:20" ht="15.75">
      <c r="B19" s="226"/>
      <c r="C19" s="203" t="s">
        <v>255</v>
      </c>
      <c r="D19" s="204"/>
      <c r="G19" s="146">
        <f>G23*G$17</f>
        <v>7322.0940000000137</v>
      </c>
      <c r="H19" s="146">
        <f t="shared" ref="H19:L19" si="11">H23*H$17</f>
        <v>8275.7956848840149</v>
      </c>
      <c r="I19" s="146">
        <f t="shared" si="11"/>
        <v>9352.8706940913053</v>
      </c>
      <c r="J19" s="146">
        <f t="shared" si="11"/>
        <v>10569.149761883873</v>
      </c>
      <c r="K19" s="146">
        <f t="shared" si="11"/>
        <v>11942.475104524714</v>
      </c>
      <c r="L19" s="166">
        <f t="shared" si="11"/>
        <v>13492.952927374259</v>
      </c>
      <c r="M19"/>
      <c r="N19"/>
      <c r="O19"/>
      <c r="P19"/>
      <c r="Q19"/>
      <c r="R19"/>
      <c r="S19"/>
      <c r="T19"/>
    </row>
    <row r="20" spans="2:20" ht="15.75">
      <c r="B20" s="226"/>
      <c r="C20" s="203" t="s">
        <v>256</v>
      </c>
      <c r="D20" s="204"/>
      <c r="G20" s="146">
        <f>G24*G$17</f>
        <v>7322.0940000000137</v>
      </c>
      <c r="H20" s="146">
        <f t="shared" ref="H20:L20" si="12">H24*H$17</f>
        <v>8433.2228231160152</v>
      </c>
      <c r="I20" s="146">
        <f t="shared" si="12"/>
        <v>9712.1194235367293</v>
      </c>
      <c r="J20" s="146">
        <f t="shared" si="12"/>
        <v>11184.003962329716</v>
      </c>
      <c r="K20" s="146">
        <f t="shared" si="12"/>
        <v>12877.873294802992</v>
      </c>
      <c r="L20" s="166">
        <f t="shared" si="12"/>
        <v>14827.064596258651</v>
      </c>
      <c r="M20"/>
      <c r="N20"/>
      <c r="O20"/>
      <c r="P20"/>
      <c r="Q20"/>
      <c r="R20"/>
      <c r="S20"/>
      <c r="T20"/>
    </row>
    <row r="21" spans="2:20" ht="15.75">
      <c r="B21" s="226"/>
      <c r="C21" s="203" t="s">
        <v>257</v>
      </c>
      <c r="D21" s="204"/>
      <c r="G21" s="146">
        <f>G25*G$17</f>
        <v>7322.0940000000137</v>
      </c>
      <c r="H21" s="146">
        <f t="shared" ref="H21:L21" si="13">H25*H$17</f>
        <v>8630.0067459060156</v>
      </c>
      <c r="I21" s="146">
        <f t="shared" si="13"/>
        <v>10161.18033534351</v>
      </c>
      <c r="J21" s="146">
        <f t="shared" si="13"/>
        <v>11952.571712887022</v>
      </c>
      <c r="K21" s="146">
        <f t="shared" si="13"/>
        <v>14047.121032650837</v>
      </c>
      <c r="L21" s="166">
        <f t="shared" si="13"/>
        <v>16494.704182364141</v>
      </c>
      <c r="M21"/>
      <c r="N21"/>
      <c r="O21"/>
      <c r="P21"/>
      <c r="Q21"/>
      <c r="R21"/>
      <c r="S21"/>
      <c r="T21"/>
    </row>
    <row r="22" spans="2:20" ht="15.75">
      <c r="B22" s="226"/>
      <c r="C22" s="201" t="s">
        <v>245</v>
      </c>
      <c r="D22" s="202"/>
      <c r="E22" s="117">
        <f>E18/E17</f>
        <v>0.20936027722618075</v>
      </c>
      <c r="F22" s="117">
        <f>F18/F17</f>
        <v>0.21227621483375958</v>
      </c>
      <c r="L22" s="165"/>
      <c r="M22"/>
      <c r="N22"/>
      <c r="O22"/>
      <c r="P22"/>
      <c r="Q22"/>
      <c r="R22"/>
      <c r="S22"/>
      <c r="T22"/>
    </row>
    <row r="23" spans="2:20" ht="15.75">
      <c r="B23" s="226"/>
      <c r="C23" s="203" t="s">
        <v>255</v>
      </c>
      <c r="D23" s="204"/>
      <c r="E23" s="117"/>
      <c r="F23" s="117"/>
      <c r="G23" s="66">
        <f>G24</f>
        <v>0.21227621483376</v>
      </c>
      <c r="H23" s="117">
        <f>G23-0.002</f>
        <v>0.21027621483375999</v>
      </c>
      <c r="I23" s="117">
        <f t="shared" ref="I23:L23" si="14">H23-0.002</f>
        <v>0.20827621483375999</v>
      </c>
      <c r="J23" s="117">
        <f t="shared" si="14"/>
        <v>0.20627621483375999</v>
      </c>
      <c r="K23" s="117">
        <f t="shared" si="14"/>
        <v>0.20427621483375999</v>
      </c>
      <c r="L23" s="167">
        <f t="shared" si="14"/>
        <v>0.20227621483375999</v>
      </c>
      <c r="M23"/>
      <c r="N23"/>
      <c r="O23"/>
      <c r="P23"/>
      <c r="Q23"/>
      <c r="R23"/>
      <c r="S23"/>
      <c r="T23"/>
    </row>
    <row r="24" spans="2:20" ht="15.75">
      <c r="B24" s="226"/>
      <c r="C24" s="203" t="s">
        <v>256</v>
      </c>
      <c r="D24" s="204"/>
      <c r="E24" s="117"/>
      <c r="F24" s="117"/>
      <c r="G24" s="117">
        <v>0.21227621483376</v>
      </c>
      <c r="H24" s="117">
        <f>G24+0.002</f>
        <v>0.21427621483376</v>
      </c>
      <c r="I24" s="117">
        <f t="shared" ref="I24:L24" si="15">H24+0.002</f>
        <v>0.21627621483376</v>
      </c>
      <c r="J24" s="117">
        <f t="shared" si="15"/>
        <v>0.21827621483376</v>
      </c>
      <c r="K24" s="117">
        <f t="shared" si="15"/>
        <v>0.22027621483376</v>
      </c>
      <c r="L24" s="167">
        <f t="shared" si="15"/>
        <v>0.22227621483376001</v>
      </c>
      <c r="M24"/>
      <c r="N24"/>
      <c r="O24"/>
      <c r="P24"/>
      <c r="Q24"/>
      <c r="R24"/>
      <c r="S24"/>
      <c r="T24"/>
    </row>
    <row r="25" spans="2:20" ht="15.75">
      <c r="B25" s="226"/>
      <c r="C25" s="203" t="s">
        <v>257</v>
      </c>
      <c r="D25" s="204"/>
      <c r="E25" s="117"/>
      <c r="F25" s="117"/>
      <c r="G25" s="66">
        <f>G24</f>
        <v>0.21227621483376</v>
      </c>
      <c r="H25" s="117">
        <f>G25+0.007</f>
        <v>0.21927621483376</v>
      </c>
      <c r="I25" s="117">
        <f t="shared" ref="I25:L25" si="16">H25+0.007</f>
        <v>0.22627621483376001</v>
      </c>
      <c r="J25" s="117">
        <f t="shared" si="16"/>
        <v>0.23327621483376001</v>
      </c>
      <c r="K25" s="117">
        <f t="shared" si="16"/>
        <v>0.24027621483376002</v>
      </c>
      <c r="L25" s="167">
        <f t="shared" si="16"/>
        <v>0.24727621483376003</v>
      </c>
      <c r="M25"/>
      <c r="N25"/>
      <c r="O25"/>
      <c r="P25"/>
      <c r="Q25"/>
      <c r="R25"/>
      <c r="S25"/>
      <c r="T25"/>
    </row>
    <row r="26" spans="2:20" ht="15.75">
      <c r="B26" s="227"/>
      <c r="C26" s="173"/>
      <c r="D26" s="173"/>
      <c r="E26" s="117"/>
      <c r="F26" s="117"/>
      <c r="G26" s="66"/>
      <c r="H26" s="117"/>
      <c r="I26" s="117"/>
      <c r="J26" s="117"/>
      <c r="K26" s="117"/>
      <c r="L26" s="167"/>
      <c r="M26"/>
      <c r="N26"/>
      <c r="O26"/>
      <c r="P26"/>
      <c r="Q26"/>
      <c r="R26"/>
      <c r="S26"/>
      <c r="T26"/>
    </row>
    <row r="27" spans="2:20" ht="15.75">
      <c r="B27" s="228"/>
      <c r="C27" s="52" t="s">
        <v>258</v>
      </c>
      <c r="D27" s="144">
        <v>0.17</v>
      </c>
      <c r="E27" s="151"/>
      <c r="F27" s="151"/>
      <c r="G27" s="151"/>
      <c r="H27" s="151"/>
      <c r="I27" s="151"/>
      <c r="J27" s="151"/>
      <c r="K27" s="151"/>
      <c r="L27" s="168"/>
      <c r="M27"/>
      <c r="N27"/>
      <c r="O27"/>
      <c r="P27"/>
      <c r="Q27"/>
      <c r="R27"/>
      <c r="S27"/>
      <c r="T27"/>
    </row>
    <row r="28" spans="2:20" ht="15.95" customHeight="1">
      <c r="B28" s="226" t="s">
        <v>247</v>
      </c>
      <c r="C28" s="199" t="s">
        <v>243</v>
      </c>
      <c r="D28" s="200"/>
      <c r="E28" s="146">
        <v>19915</v>
      </c>
      <c r="F28" s="146">
        <v>24567</v>
      </c>
      <c r="G28" s="146">
        <f>F28*(1+$D$27-0.01)</f>
        <v>28497.719999999998</v>
      </c>
      <c r="H28" s="146">
        <f>G28*(1+$D$27)</f>
        <v>33342.332399999992</v>
      </c>
      <c r="I28" s="146">
        <f>H28*(1+$D$27)</f>
        <v>39010.528907999986</v>
      </c>
      <c r="J28" s="146">
        <f>I28*(1+$D$27)</f>
        <v>45642.318822359979</v>
      </c>
      <c r="K28" s="146">
        <f>J28*(1+$D$27)</f>
        <v>53401.513022161169</v>
      </c>
      <c r="L28" s="166">
        <f>K28*(1+$D$27)</f>
        <v>62479.770235928561</v>
      </c>
      <c r="M28"/>
      <c r="N28"/>
      <c r="O28"/>
      <c r="P28"/>
      <c r="Q28"/>
      <c r="R28"/>
      <c r="S28"/>
      <c r="T28"/>
    </row>
    <row r="29" spans="2:20" ht="15.75">
      <c r="B29" s="226"/>
      <c r="C29" s="201" t="s">
        <v>244</v>
      </c>
      <c r="D29" s="202"/>
      <c r="E29" s="146">
        <v>2486</v>
      </c>
      <c r="F29" s="146">
        <v>3022</v>
      </c>
      <c r="G29" s="146"/>
      <c r="H29" s="146"/>
      <c r="I29" s="146"/>
      <c r="J29" s="146"/>
      <c r="K29" s="146"/>
      <c r="L29" s="166"/>
      <c r="M29"/>
      <c r="N29"/>
      <c r="O29"/>
      <c r="P29"/>
      <c r="Q29"/>
      <c r="R29"/>
      <c r="S29"/>
      <c r="T29"/>
    </row>
    <row r="30" spans="2:20" ht="15.75">
      <c r="B30" s="226"/>
      <c r="C30" s="203" t="s">
        <v>255</v>
      </c>
      <c r="D30" s="204"/>
      <c r="G30" s="146">
        <f>G34*G$28</f>
        <v>3505.5199999999995</v>
      </c>
      <c r="H30" s="146">
        <f t="shared" ref="H30:L30" si="17">H34*H$28</f>
        <v>4001.431402799999</v>
      </c>
      <c r="I30" s="146">
        <f t="shared" si="17"/>
        <v>4564.6431545519981</v>
      </c>
      <c r="J30" s="146">
        <f t="shared" si="17"/>
        <v>5203.7055343587572</v>
      </c>
      <c r="K30" s="146">
        <f t="shared" si="17"/>
        <v>5928.1309361332615</v>
      </c>
      <c r="L30" s="166">
        <f t="shared" si="17"/>
        <v>6748.4738845681295</v>
      </c>
      <c r="M30"/>
      <c r="N30"/>
      <c r="O30"/>
      <c r="P30"/>
      <c r="Q30"/>
      <c r="R30"/>
      <c r="S30"/>
      <c r="T30"/>
    </row>
    <row r="31" spans="2:20" ht="15.75">
      <c r="B31" s="226"/>
      <c r="C31" s="203" t="s">
        <v>256</v>
      </c>
      <c r="D31" s="204"/>
      <c r="G31" s="146">
        <f>G35*G$28</f>
        <v>3505.5199999999995</v>
      </c>
      <c r="H31" s="146">
        <f t="shared" ref="H31:L31" si="18">H35*H$28</f>
        <v>4134.8007323999991</v>
      </c>
      <c r="I31" s="146">
        <f t="shared" si="18"/>
        <v>4876.7273858159979</v>
      </c>
      <c r="J31" s="146">
        <f t="shared" si="18"/>
        <v>5751.4133602270776</v>
      </c>
      <c r="K31" s="146">
        <f t="shared" si="18"/>
        <v>6782.5551444878411</v>
      </c>
      <c r="L31" s="166">
        <f t="shared" si="18"/>
        <v>7998.0692892867019</v>
      </c>
      <c r="M31"/>
      <c r="N31"/>
      <c r="O31"/>
      <c r="P31"/>
      <c r="Q31"/>
      <c r="R31"/>
      <c r="S31"/>
      <c r="T31"/>
    </row>
    <row r="32" spans="2:20" ht="15.75">
      <c r="B32" s="226"/>
      <c r="C32" s="203" t="s">
        <v>257</v>
      </c>
      <c r="D32" s="204"/>
      <c r="G32" s="146">
        <f>G36*G$28</f>
        <v>3505.5199999999995</v>
      </c>
      <c r="H32" s="146">
        <f t="shared" ref="H32:L32" si="19">H36*H$28</f>
        <v>4334.8547267999993</v>
      </c>
      <c r="I32" s="146">
        <f t="shared" si="19"/>
        <v>5344.8537327119984</v>
      </c>
      <c r="J32" s="146">
        <f t="shared" si="19"/>
        <v>6572.9750990295579</v>
      </c>
      <c r="K32" s="146">
        <f t="shared" si="19"/>
        <v>8064.1914570197105</v>
      </c>
      <c r="L32" s="166">
        <f t="shared" si="19"/>
        <v>9872.4623963645608</v>
      </c>
      <c r="M32"/>
      <c r="N32"/>
      <c r="O32"/>
      <c r="P32"/>
      <c r="Q32"/>
      <c r="R32"/>
      <c r="S32"/>
      <c r="T32"/>
    </row>
    <row r="33" spans="2:20" ht="15.75">
      <c r="B33" s="226"/>
      <c r="C33" s="201" t="s">
        <v>245</v>
      </c>
      <c r="D33" s="202"/>
      <c r="E33" s="117">
        <f>E29/E28</f>
        <v>0.12483052975144364</v>
      </c>
      <c r="F33" s="117">
        <f>F29/F28</f>
        <v>0.12301054259779379</v>
      </c>
      <c r="L33" s="165"/>
      <c r="M33"/>
      <c r="N33"/>
      <c r="O33"/>
      <c r="P33"/>
      <c r="Q33"/>
      <c r="R33"/>
      <c r="S33"/>
      <c r="T33"/>
    </row>
    <row r="34" spans="2:20" ht="15.75">
      <c r="B34" s="226"/>
      <c r="C34" s="203" t="s">
        <v>255</v>
      </c>
      <c r="D34" s="204"/>
      <c r="E34" s="117"/>
      <c r="F34" s="117"/>
      <c r="G34" s="66">
        <f>G35</f>
        <v>0.12301054259779379</v>
      </c>
      <c r="H34" s="66">
        <f>G34-0.003</f>
        <v>0.12001054259779378</v>
      </c>
      <c r="I34" s="66">
        <f t="shared" ref="I34:L34" si="20">H34-0.003</f>
        <v>0.11701054259779378</v>
      </c>
      <c r="J34" s="66">
        <f t="shared" si="20"/>
        <v>0.11401054259779378</v>
      </c>
      <c r="K34" s="66">
        <f t="shared" si="20"/>
        <v>0.11101054259779378</v>
      </c>
      <c r="L34" s="169">
        <f t="shared" si="20"/>
        <v>0.10801054259779377</v>
      </c>
      <c r="M34"/>
      <c r="N34"/>
      <c r="O34"/>
      <c r="P34"/>
      <c r="Q34"/>
      <c r="R34"/>
      <c r="S34"/>
      <c r="T34"/>
    </row>
    <row r="35" spans="2:20" ht="15.75">
      <c r="B35" s="226"/>
      <c r="C35" s="203" t="s">
        <v>256</v>
      </c>
      <c r="D35" s="204"/>
      <c r="E35" s="117"/>
      <c r="F35" s="117"/>
      <c r="G35" s="117">
        <f>F33</f>
        <v>0.12301054259779379</v>
      </c>
      <c r="H35" s="117">
        <f>G35+0.001</f>
        <v>0.12401054259779379</v>
      </c>
      <c r="I35" s="117">
        <f t="shared" ref="I35:L35" si="21">H35+0.001</f>
        <v>0.12501054259779379</v>
      </c>
      <c r="J35" s="117">
        <f t="shared" si="21"/>
        <v>0.12601054259779379</v>
      </c>
      <c r="K35" s="117">
        <f t="shared" si="21"/>
        <v>0.12701054259779379</v>
      </c>
      <c r="L35" s="167">
        <f t="shared" si="21"/>
        <v>0.12801054259779379</v>
      </c>
      <c r="M35"/>
      <c r="N35"/>
      <c r="O35"/>
      <c r="P35"/>
      <c r="Q35"/>
      <c r="R35"/>
      <c r="S35"/>
      <c r="T35"/>
    </row>
    <row r="36" spans="2:20" ht="15.75">
      <c r="B36" s="226"/>
      <c r="C36" s="203" t="s">
        <v>257</v>
      </c>
      <c r="D36" s="204"/>
      <c r="E36" s="117"/>
      <c r="F36" s="117"/>
      <c r="G36" s="117">
        <f>G35</f>
        <v>0.12301054259779379</v>
      </c>
      <c r="H36" s="117">
        <f>G36+0.007</f>
        <v>0.13001054259779379</v>
      </c>
      <c r="I36" s="117">
        <f t="shared" ref="I36:L36" si="22">H36+0.007</f>
        <v>0.1370105425977938</v>
      </c>
      <c r="J36" s="117">
        <f t="shared" si="22"/>
        <v>0.14401054259779381</v>
      </c>
      <c r="K36" s="117">
        <f t="shared" si="22"/>
        <v>0.15101054259779381</v>
      </c>
      <c r="L36" s="167">
        <f t="shared" si="22"/>
        <v>0.15801054259779382</v>
      </c>
      <c r="M36"/>
      <c r="N36"/>
      <c r="O36"/>
      <c r="P36"/>
      <c r="Q36"/>
      <c r="R36"/>
      <c r="S36"/>
      <c r="T36"/>
    </row>
    <row r="37" spans="2:20" ht="15.75">
      <c r="B37" s="227"/>
      <c r="C37" s="173"/>
      <c r="D37" s="173"/>
      <c r="E37" s="117"/>
      <c r="F37" s="117"/>
      <c r="G37" s="117"/>
      <c r="H37" s="117"/>
      <c r="I37" s="117"/>
      <c r="J37" s="117"/>
      <c r="K37" s="117"/>
      <c r="L37" s="167"/>
      <c r="M37"/>
      <c r="N37"/>
      <c r="O37"/>
      <c r="P37"/>
      <c r="Q37"/>
      <c r="R37"/>
      <c r="S37"/>
      <c r="T37"/>
    </row>
    <row r="38" spans="2:20" ht="15.75">
      <c r="B38" s="228"/>
      <c r="C38" s="52" t="s">
        <v>258</v>
      </c>
      <c r="D38" s="144">
        <v>0.17</v>
      </c>
      <c r="E38" s="151"/>
      <c r="F38" s="151"/>
      <c r="G38" s="151"/>
      <c r="H38" s="151"/>
      <c r="I38" s="151"/>
      <c r="J38" s="151"/>
      <c r="K38" s="151"/>
      <c r="L38" s="168"/>
      <c r="M38"/>
      <c r="N38"/>
      <c r="O38"/>
      <c r="P38"/>
      <c r="Q38"/>
      <c r="R38"/>
      <c r="S38"/>
      <c r="T38"/>
    </row>
    <row r="39" spans="2:20" ht="15.95" customHeight="1">
      <c r="B39" s="226" t="s">
        <v>248</v>
      </c>
      <c r="C39" s="199" t="s">
        <v>243</v>
      </c>
      <c r="D39" s="200"/>
      <c r="E39" s="146">
        <v>7350</v>
      </c>
      <c r="F39" s="146">
        <v>9048</v>
      </c>
      <c r="G39" s="146">
        <f>F39*(1+$D$38-0.01)</f>
        <v>10495.679999999998</v>
      </c>
      <c r="H39" s="146">
        <f>G39*(1+$D$38)</f>
        <v>12279.945599999997</v>
      </c>
      <c r="I39" s="146">
        <f>H39*(1+$D$38)</f>
        <v>14367.536351999996</v>
      </c>
      <c r="J39" s="146">
        <f>I39*(1+$D$38)</f>
        <v>16810.017531839992</v>
      </c>
      <c r="K39" s="146">
        <f>J39*(1+$D$38)</f>
        <v>19667.720512252788</v>
      </c>
      <c r="L39" s="166">
        <f>K39*(1+$D$38)</f>
        <v>23011.23299933576</v>
      </c>
      <c r="M39"/>
      <c r="N39"/>
      <c r="O39"/>
      <c r="P39"/>
      <c r="Q39"/>
      <c r="R39"/>
      <c r="S39"/>
      <c r="T39"/>
    </row>
    <row r="40" spans="2:20" ht="15.75">
      <c r="B40" s="226"/>
      <c r="C40" s="201" t="s">
        <v>244</v>
      </c>
      <c r="D40" s="202"/>
      <c r="E40" s="146">
        <v>647</v>
      </c>
      <c r="F40" s="146">
        <v>880</v>
      </c>
      <c r="G40" s="146"/>
      <c r="H40" s="146"/>
      <c r="I40" s="146"/>
      <c r="J40" s="146"/>
      <c r="K40" s="146"/>
      <c r="L40" s="166"/>
      <c r="M40"/>
      <c r="N40"/>
      <c r="O40"/>
      <c r="P40"/>
      <c r="Q40"/>
      <c r="R40"/>
      <c r="S40"/>
      <c r="T40"/>
    </row>
    <row r="41" spans="2:20" ht="15.75">
      <c r="B41" s="226"/>
      <c r="C41" s="203" t="s">
        <v>255</v>
      </c>
      <c r="D41" s="204"/>
      <c r="G41" s="145">
        <f>G45*G$39</f>
        <v>1020.7999999999998</v>
      </c>
      <c r="H41" s="145">
        <f t="shared" ref="H41:L41" si="23">H45*H$39</f>
        <v>1182.0560543999998</v>
      </c>
      <c r="I41" s="145">
        <f t="shared" si="23"/>
        <v>1368.6380472959995</v>
      </c>
      <c r="J41" s="145">
        <f t="shared" si="23"/>
        <v>1584.4964978044793</v>
      </c>
      <c r="K41" s="145">
        <f t="shared" si="23"/>
        <v>1834.1931819189876</v>
      </c>
      <c r="L41" s="103">
        <f t="shared" si="23"/>
        <v>2122.9947898458795</v>
      </c>
      <c r="M41"/>
      <c r="N41"/>
      <c r="O41"/>
      <c r="P41"/>
      <c r="Q41"/>
      <c r="R41"/>
      <c r="S41"/>
      <c r="T41"/>
    </row>
    <row r="42" spans="2:20" ht="15.75">
      <c r="B42" s="226"/>
      <c r="C42" s="203" t="s">
        <v>256</v>
      </c>
      <c r="D42" s="204"/>
      <c r="G42" s="145">
        <f>G46*G$39</f>
        <v>1020.7999999999998</v>
      </c>
      <c r="H42" s="145">
        <f t="shared" ref="H42:L42" si="24">H46*H$39</f>
        <v>1243.4557823999996</v>
      </c>
      <c r="I42" s="145">
        <f t="shared" si="24"/>
        <v>1512.3134108159995</v>
      </c>
      <c r="J42" s="145">
        <f t="shared" si="24"/>
        <v>1836.6467607820794</v>
      </c>
      <c r="K42" s="145">
        <f t="shared" si="24"/>
        <v>2227.5475921640436</v>
      </c>
      <c r="L42" s="103">
        <f t="shared" si="24"/>
        <v>2698.2756148292738</v>
      </c>
      <c r="M42"/>
      <c r="N42"/>
      <c r="O42"/>
      <c r="P42"/>
      <c r="Q42"/>
      <c r="R42"/>
      <c r="S42"/>
      <c r="T42"/>
    </row>
    <row r="43" spans="2:20" ht="15.75">
      <c r="B43" s="226"/>
      <c r="C43" s="203" t="s">
        <v>257</v>
      </c>
      <c r="D43" s="204"/>
      <c r="G43" s="145">
        <f>G47*G$39</f>
        <v>1020.7999999999998</v>
      </c>
      <c r="H43" s="145">
        <f t="shared" ref="H43:L43" si="25">H47*H$39</f>
        <v>1329.4154015999995</v>
      </c>
      <c r="I43" s="145">
        <f t="shared" si="25"/>
        <v>1713.4589197439993</v>
      </c>
      <c r="J43" s="145">
        <f t="shared" si="25"/>
        <v>2189.6571289507187</v>
      </c>
      <c r="K43" s="145">
        <f t="shared" si="25"/>
        <v>2778.2437665071216</v>
      </c>
      <c r="L43" s="103">
        <f t="shared" si="25"/>
        <v>3503.6687698060255</v>
      </c>
      <c r="M43"/>
      <c r="N43"/>
      <c r="O43"/>
      <c r="P43"/>
      <c r="Q43"/>
      <c r="R43"/>
      <c r="S43"/>
      <c r="T43"/>
    </row>
    <row r="44" spans="2:20" ht="15.75">
      <c r="B44" s="226"/>
      <c r="C44" s="201" t="s">
        <v>245</v>
      </c>
      <c r="D44" s="202"/>
      <c r="E44" s="117">
        <f>E40/E39</f>
        <v>8.8027210884353738E-2</v>
      </c>
      <c r="F44" s="117">
        <f>F40/F39</f>
        <v>9.7259062776304153E-2</v>
      </c>
      <c r="L44" s="165"/>
      <c r="M44"/>
      <c r="N44"/>
      <c r="O44"/>
      <c r="P44"/>
      <c r="Q44"/>
      <c r="R44"/>
      <c r="S44"/>
      <c r="T44"/>
    </row>
    <row r="45" spans="2:20" ht="15.75">
      <c r="B45" s="226"/>
      <c r="C45" s="203" t="s">
        <v>255</v>
      </c>
      <c r="D45" s="204"/>
      <c r="E45" s="117"/>
      <c r="F45" s="117"/>
      <c r="G45" s="117">
        <v>9.7259062776304153E-2</v>
      </c>
      <c r="H45" s="117">
        <f>G45-0.001</f>
        <v>9.6259062776304152E-2</v>
      </c>
      <c r="I45" s="117">
        <f t="shared" ref="I45:L45" si="26">H45-0.001</f>
        <v>9.5259062776304151E-2</v>
      </c>
      <c r="J45" s="117">
        <f t="shared" si="26"/>
        <v>9.4259062776304151E-2</v>
      </c>
      <c r="K45" s="117">
        <f t="shared" si="26"/>
        <v>9.325906277630415E-2</v>
      </c>
      <c r="L45" s="167">
        <f t="shared" si="26"/>
        <v>9.2259062776304149E-2</v>
      </c>
      <c r="M45"/>
      <c r="N45"/>
      <c r="O45"/>
      <c r="P45"/>
      <c r="Q45"/>
      <c r="R45"/>
      <c r="S45"/>
      <c r="T45"/>
    </row>
    <row r="46" spans="2:20" ht="15.75">
      <c r="B46" s="226"/>
      <c r="C46" s="203" t="s">
        <v>256</v>
      </c>
      <c r="D46" s="204"/>
      <c r="E46" s="117"/>
      <c r="F46" s="117"/>
      <c r="G46" s="117">
        <v>9.7259062776304153E-2</v>
      </c>
      <c r="H46" s="117">
        <f>G46+0.004</f>
        <v>0.10125906277630416</v>
      </c>
      <c r="I46" s="117">
        <f t="shared" ref="I46:L46" si="27">H46+0.004</f>
        <v>0.10525906277630416</v>
      </c>
      <c r="J46" s="117">
        <f t="shared" si="27"/>
        <v>0.10925906277630416</v>
      </c>
      <c r="K46" s="117">
        <f t="shared" si="27"/>
        <v>0.11325906277630417</v>
      </c>
      <c r="L46" s="167">
        <f t="shared" si="27"/>
        <v>0.11725906277630417</v>
      </c>
      <c r="M46"/>
      <c r="N46"/>
      <c r="O46"/>
      <c r="P46"/>
      <c r="Q46"/>
      <c r="R46"/>
      <c r="S46"/>
      <c r="T46"/>
    </row>
    <row r="47" spans="2:20" ht="15.75">
      <c r="B47" s="226"/>
      <c r="C47" s="203" t="s">
        <v>257</v>
      </c>
      <c r="D47" s="204"/>
      <c r="E47" s="117"/>
      <c r="F47" s="117"/>
      <c r="G47" s="117">
        <f>F44</f>
        <v>9.7259062776304153E-2</v>
      </c>
      <c r="H47" s="117">
        <f>G47+0.011</f>
        <v>0.10825906277630415</v>
      </c>
      <c r="I47" s="117">
        <f t="shared" ref="I47:L47" si="28">H47+0.011</f>
        <v>0.11925906277630414</v>
      </c>
      <c r="J47" s="117">
        <f t="shared" si="28"/>
        <v>0.13025906277630414</v>
      </c>
      <c r="K47" s="117">
        <f t="shared" si="28"/>
        <v>0.14125906277630415</v>
      </c>
      <c r="L47" s="167">
        <f t="shared" si="28"/>
        <v>0.15225906277630416</v>
      </c>
      <c r="M47"/>
      <c r="N47"/>
      <c r="O47"/>
      <c r="P47"/>
      <c r="Q47"/>
      <c r="R47"/>
      <c r="S47"/>
      <c r="T47"/>
    </row>
    <row r="48" spans="2:20" ht="15.75">
      <c r="B48" s="227"/>
      <c r="C48" s="173"/>
      <c r="D48" s="173"/>
      <c r="E48" s="117"/>
      <c r="F48" s="117"/>
      <c r="G48" s="117"/>
      <c r="H48" s="117"/>
      <c r="I48" s="117"/>
      <c r="J48" s="117"/>
      <c r="K48" s="117"/>
      <c r="L48" s="167"/>
      <c r="M48"/>
      <c r="N48"/>
      <c r="O48"/>
      <c r="P48"/>
      <c r="Q48"/>
      <c r="R48"/>
      <c r="S48"/>
      <c r="T48"/>
    </row>
    <row r="49" spans="2:20" ht="15.75">
      <c r="B49" s="228"/>
      <c r="C49" s="52" t="s">
        <v>258</v>
      </c>
      <c r="D49" s="144">
        <v>0.155</v>
      </c>
      <c r="E49" s="151"/>
      <c r="F49" s="151"/>
      <c r="G49" s="151"/>
      <c r="H49" s="151"/>
      <c r="I49" s="151"/>
      <c r="J49" s="151"/>
      <c r="K49" s="151"/>
      <c r="L49" s="168"/>
      <c r="M49"/>
      <c r="N49"/>
      <c r="O49"/>
      <c r="P49"/>
      <c r="Q49"/>
      <c r="R49"/>
      <c r="S49"/>
      <c r="T49"/>
    </row>
    <row r="50" spans="2:20" ht="15.95" customHeight="1">
      <c r="B50" s="226" t="s">
        <v>249</v>
      </c>
      <c r="C50" s="206" t="s">
        <v>243</v>
      </c>
      <c r="D50" s="207"/>
      <c r="E50" s="146">
        <v>11928</v>
      </c>
      <c r="F50" s="146">
        <v>15717</v>
      </c>
      <c r="G50" s="146">
        <f>F50*(1+$D$49-0.01)</f>
        <v>17995.965</v>
      </c>
      <c r="H50" s="146">
        <f>G50*(1+$D$49)</f>
        <v>20785.339575000002</v>
      </c>
      <c r="I50" s="146">
        <f>H50*(1+$D$49)</f>
        <v>24007.067209125002</v>
      </c>
      <c r="J50" s="146">
        <f>I50*(1+$D$49)</f>
        <v>27728.162626539379</v>
      </c>
      <c r="K50" s="146">
        <f>J50*(1+$D$49)</f>
        <v>32026.027833652985</v>
      </c>
      <c r="L50" s="166">
        <f>K50*(1+$D$49)</f>
        <v>36990.062147869197</v>
      </c>
      <c r="M50"/>
      <c r="N50"/>
      <c r="O50"/>
      <c r="P50"/>
      <c r="Q50"/>
      <c r="R50"/>
      <c r="S50"/>
      <c r="T50"/>
    </row>
    <row r="51" spans="2:20" ht="15.75">
      <c r="B51" s="226"/>
      <c r="C51" s="208" t="s">
        <v>244</v>
      </c>
      <c r="D51" s="209"/>
      <c r="E51" s="146">
        <v>2264</v>
      </c>
      <c r="F51" s="146">
        <v>3091</v>
      </c>
      <c r="G51" s="146"/>
      <c r="H51" s="146"/>
      <c r="I51" s="146"/>
      <c r="J51" s="146"/>
      <c r="K51" s="146"/>
      <c r="L51" s="166"/>
      <c r="M51"/>
      <c r="N51"/>
      <c r="O51"/>
      <c r="P51"/>
      <c r="Q51"/>
      <c r="R51"/>
      <c r="S51"/>
      <c r="T51"/>
    </row>
    <row r="52" spans="2:20" ht="15.75">
      <c r="B52" s="226"/>
      <c r="C52" s="203" t="s">
        <v>255</v>
      </c>
      <c r="D52" s="204"/>
      <c r="G52" s="146">
        <f>G56*G$50</f>
        <v>3557.1909650000002</v>
      </c>
      <c r="H52" s="146">
        <f t="shared" ref="H52:L52" si="29">H56*H$50</f>
        <v>4066.9848854250004</v>
      </c>
      <c r="I52" s="146">
        <f t="shared" si="29"/>
        <v>4649.3534082476253</v>
      </c>
      <c r="J52" s="146">
        <f t="shared" si="29"/>
        <v>5314.5468612729292</v>
      </c>
      <c r="K52" s="146">
        <f t="shared" si="29"/>
        <v>6074.2495691029271</v>
      </c>
      <c r="L52" s="166">
        <f t="shared" si="29"/>
        <v>6941.7781280181425</v>
      </c>
      <c r="M52"/>
      <c r="N52"/>
      <c r="O52"/>
      <c r="P52"/>
      <c r="Q52"/>
      <c r="R52"/>
      <c r="S52"/>
      <c r="T52"/>
    </row>
    <row r="53" spans="2:20" ht="15.75">
      <c r="B53" s="226"/>
      <c r="C53" s="203" t="s">
        <v>256</v>
      </c>
      <c r="D53" s="204"/>
      <c r="G53" s="146">
        <f>G57*G$50</f>
        <v>3557.1909650000002</v>
      </c>
      <c r="H53" s="146">
        <f t="shared" ref="H53:L53" si="30">H57*H$50</f>
        <v>4212.4822624500002</v>
      </c>
      <c r="I53" s="146">
        <f t="shared" si="30"/>
        <v>4985.4523491753762</v>
      </c>
      <c r="J53" s="146">
        <f t="shared" si="30"/>
        <v>5896.838276430256</v>
      </c>
      <c r="K53" s="146">
        <f t="shared" si="30"/>
        <v>6970.9783484452119</v>
      </c>
      <c r="L53" s="166">
        <f t="shared" si="30"/>
        <v>8236.4303031935651</v>
      </c>
      <c r="M53"/>
      <c r="N53"/>
      <c r="O53"/>
      <c r="P53"/>
      <c r="Q53"/>
      <c r="R53"/>
      <c r="S53"/>
      <c r="T53"/>
    </row>
    <row r="54" spans="2:20" ht="15.75">
      <c r="B54" s="226"/>
      <c r="C54" s="203" t="s">
        <v>257</v>
      </c>
      <c r="D54" s="204"/>
      <c r="G54" s="146">
        <f>G58*G$50</f>
        <v>3557.1909650000002</v>
      </c>
      <c r="H54" s="146">
        <f t="shared" ref="H54:L54" si="31">H58*H$50</f>
        <v>4254.0529416000008</v>
      </c>
      <c r="I54" s="146">
        <f t="shared" si="31"/>
        <v>5081.4806180118758</v>
      </c>
      <c r="J54" s="146">
        <f t="shared" si="31"/>
        <v>6063.2072521894925</v>
      </c>
      <c r="K54" s="146">
        <f t="shared" si="31"/>
        <v>7227.1865711144355</v>
      </c>
      <c r="L54" s="166">
        <f t="shared" si="31"/>
        <v>8606.3309246722583</v>
      </c>
      <c r="M54"/>
      <c r="N54"/>
      <c r="O54"/>
      <c r="P54"/>
      <c r="Q54"/>
      <c r="R54"/>
      <c r="S54"/>
      <c r="T54"/>
    </row>
    <row r="55" spans="2:20" ht="15.75">
      <c r="B55" s="226"/>
      <c r="C55" s="208" t="s">
        <v>245</v>
      </c>
      <c r="D55" s="209"/>
      <c r="E55" s="117">
        <f>E51/E50</f>
        <v>0.1898054996646546</v>
      </c>
      <c r="F55" s="117">
        <f>F51/F50</f>
        <v>0.19666603041292868</v>
      </c>
      <c r="L55" s="165"/>
      <c r="M55"/>
      <c r="N55"/>
      <c r="O55"/>
      <c r="P55"/>
      <c r="Q55"/>
      <c r="R55"/>
      <c r="S55"/>
      <c r="T55"/>
    </row>
    <row r="56" spans="2:20" ht="15.75">
      <c r="B56" s="226"/>
      <c r="C56" s="203" t="s">
        <v>255</v>
      </c>
      <c r="D56" s="204"/>
      <c r="E56" s="117"/>
      <c r="F56" s="117"/>
      <c r="G56" s="117">
        <f>G57</f>
        <v>0.19766603041292868</v>
      </c>
      <c r="H56" s="117">
        <f>G56-0.002</f>
        <v>0.19566603041292868</v>
      </c>
      <c r="I56" s="117">
        <f t="shared" ref="I56:L56" si="32">H56-0.002</f>
        <v>0.19366603041292868</v>
      </c>
      <c r="J56" s="117">
        <f t="shared" si="32"/>
        <v>0.19166603041292868</v>
      </c>
      <c r="K56" s="117">
        <f t="shared" si="32"/>
        <v>0.18966603041292868</v>
      </c>
      <c r="L56" s="167">
        <f t="shared" si="32"/>
        <v>0.18766603041292867</v>
      </c>
      <c r="M56"/>
      <c r="N56"/>
      <c r="O56"/>
      <c r="P56"/>
      <c r="Q56"/>
      <c r="R56"/>
      <c r="S56"/>
      <c r="T56"/>
    </row>
    <row r="57" spans="2:20" ht="15.75">
      <c r="B57" s="226"/>
      <c r="C57" s="203" t="s">
        <v>256</v>
      </c>
      <c r="D57" s="204"/>
      <c r="E57" s="117"/>
      <c r="F57" s="117"/>
      <c r="G57" s="117">
        <f>F55+0.001</f>
        <v>0.19766603041292868</v>
      </c>
      <c r="H57" s="117">
        <f>G57+0.005</f>
        <v>0.20266603041292869</v>
      </c>
      <c r="I57" s="117">
        <f t="shared" ref="I57:L57" si="33">H57+0.005</f>
        <v>0.20766603041292869</v>
      </c>
      <c r="J57" s="117">
        <f t="shared" si="33"/>
        <v>0.2126660304129287</v>
      </c>
      <c r="K57" s="117">
        <f t="shared" si="33"/>
        <v>0.2176660304129287</v>
      </c>
      <c r="L57" s="167">
        <f t="shared" si="33"/>
        <v>0.22266603041292871</v>
      </c>
      <c r="M57"/>
      <c r="N57"/>
      <c r="O57"/>
      <c r="P57"/>
      <c r="Q57"/>
      <c r="R57"/>
      <c r="S57"/>
      <c r="T57"/>
    </row>
    <row r="58" spans="2:20" ht="15.75">
      <c r="B58" s="226"/>
      <c r="C58" s="203" t="s">
        <v>257</v>
      </c>
      <c r="D58" s="204"/>
      <c r="E58" s="117"/>
      <c r="F58" s="117"/>
      <c r="G58" s="117">
        <f>G57</f>
        <v>0.19766603041292868</v>
      </c>
      <c r="H58" s="117">
        <f>G58+0.007</f>
        <v>0.20466603041292869</v>
      </c>
      <c r="I58" s="117">
        <f t="shared" ref="I58:L58" si="34">H58+0.007</f>
        <v>0.2116660304129287</v>
      </c>
      <c r="J58" s="117">
        <f t="shared" si="34"/>
        <v>0.2186660304129287</v>
      </c>
      <c r="K58" s="117">
        <f t="shared" si="34"/>
        <v>0.22566603041292871</v>
      </c>
      <c r="L58" s="167">
        <f t="shared" si="34"/>
        <v>0.23266603041292871</v>
      </c>
      <c r="M58"/>
      <c r="N58"/>
      <c r="O58"/>
      <c r="P58"/>
      <c r="Q58"/>
      <c r="R58"/>
      <c r="S58"/>
      <c r="T58"/>
    </row>
    <row r="59" spans="2:20" ht="15.75">
      <c r="B59" s="227"/>
      <c r="C59" s="173"/>
      <c r="D59" s="173"/>
      <c r="E59" s="117"/>
      <c r="F59" s="117"/>
      <c r="G59" s="117"/>
      <c r="H59" s="117"/>
      <c r="I59" s="117"/>
      <c r="J59" s="117"/>
      <c r="K59" s="117"/>
      <c r="L59" s="167"/>
      <c r="M59"/>
      <c r="N59"/>
      <c r="O59"/>
      <c r="P59"/>
      <c r="Q59"/>
      <c r="R59"/>
      <c r="S59"/>
      <c r="T59"/>
    </row>
    <row r="60" spans="2:20" ht="15.75">
      <c r="B60" s="228"/>
      <c r="C60" s="52" t="s">
        <v>258</v>
      </c>
      <c r="D60" s="144">
        <v>0.192</v>
      </c>
      <c r="E60" s="151"/>
      <c r="F60" s="151"/>
      <c r="G60" s="151"/>
      <c r="H60" s="151"/>
      <c r="I60" s="151"/>
      <c r="J60" s="151"/>
      <c r="K60" s="151"/>
      <c r="L60" s="168"/>
      <c r="M60"/>
      <c r="N60"/>
      <c r="O60"/>
      <c r="P60"/>
      <c r="Q60"/>
      <c r="R60"/>
      <c r="S60"/>
      <c r="T60"/>
    </row>
    <row r="61" spans="2:20" ht="15.95" customHeight="1">
      <c r="B61" s="226" t="s">
        <v>250</v>
      </c>
      <c r="C61" s="206" t="s">
        <v>243</v>
      </c>
      <c r="D61" s="207"/>
      <c r="E61" s="146">
        <v>7026</v>
      </c>
      <c r="F61" s="146">
        <v>8944</v>
      </c>
      <c r="G61" s="146">
        <f>F61*(1+$D$60-0.01)</f>
        <v>10571.807999999999</v>
      </c>
      <c r="H61" s="146">
        <f>G61*(1+$D$60)</f>
        <v>12601.595135999998</v>
      </c>
      <c r="I61" s="146">
        <f t="shared" ref="I61:L61" si="35">H61*(1+$D$60)</f>
        <v>15021.101402111997</v>
      </c>
      <c r="J61" s="146">
        <f t="shared" si="35"/>
        <v>17905.152871317499</v>
      </c>
      <c r="K61" s="146">
        <f t="shared" si="35"/>
        <v>21342.942222610458</v>
      </c>
      <c r="L61" s="146">
        <f t="shared" si="35"/>
        <v>25440.787129351665</v>
      </c>
      <c r="M61"/>
      <c r="N61"/>
      <c r="O61"/>
      <c r="P61"/>
      <c r="Q61"/>
      <c r="R61"/>
      <c r="S61"/>
      <c r="T61"/>
    </row>
    <row r="62" spans="2:20" ht="15.75">
      <c r="B62" s="226"/>
      <c r="C62" s="208" t="s">
        <v>244</v>
      </c>
      <c r="D62" s="209"/>
      <c r="E62" s="146">
        <v>1497</v>
      </c>
      <c r="F62" s="146">
        <v>1828</v>
      </c>
      <c r="G62" s="146"/>
      <c r="H62" s="146"/>
      <c r="I62" s="146"/>
      <c r="J62" s="146"/>
      <c r="K62" s="146"/>
      <c r="L62" s="166"/>
      <c r="M62"/>
      <c r="N62"/>
      <c r="O62"/>
      <c r="P62"/>
      <c r="Q62"/>
      <c r="R62"/>
      <c r="S62"/>
      <c r="T62"/>
    </row>
    <row r="63" spans="2:20" ht="15.75">
      <c r="B63" s="226"/>
      <c r="C63" s="203" t="s">
        <v>255</v>
      </c>
      <c r="D63" s="204"/>
      <c r="G63" s="146">
        <f>G$61*G67</f>
        <v>2160.6959999999999</v>
      </c>
      <c r="H63" s="146">
        <f t="shared" ref="H63:L63" si="36">H$61*H67</f>
        <v>2537.7448465919997</v>
      </c>
      <c r="I63" s="146">
        <f t="shared" si="36"/>
        <v>2979.9285529313274</v>
      </c>
      <c r="J63" s="146">
        <f t="shared" si="36"/>
        <v>3498.3593764801894</v>
      </c>
      <c r="K63" s="146">
        <f t="shared" si="36"/>
        <v>4106.0155500965539</v>
      </c>
      <c r="L63" s="166">
        <f t="shared" si="36"/>
        <v>4818.0481743270375</v>
      </c>
      <c r="M63"/>
      <c r="N63"/>
      <c r="O63"/>
      <c r="P63"/>
      <c r="Q63"/>
      <c r="R63"/>
      <c r="S63"/>
      <c r="T63"/>
    </row>
    <row r="64" spans="2:20" ht="15.75">
      <c r="B64" s="226"/>
      <c r="C64" s="203" t="s">
        <v>256</v>
      </c>
      <c r="D64" s="204"/>
      <c r="G64" s="146">
        <f>G$61*G68</f>
        <v>2160.6960000000026</v>
      </c>
      <c r="H64" s="146">
        <f t="shared" ref="H64:L64" si="37">H$61*H68</f>
        <v>2575.5496320000029</v>
      </c>
      <c r="I64" s="146">
        <f t="shared" si="37"/>
        <v>3070.0551613440034</v>
      </c>
      <c r="J64" s="146">
        <f t="shared" si="37"/>
        <v>3659.5057523220516</v>
      </c>
      <c r="K64" s="146">
        <f t="shared" si="37"/>
        <v>4362.1308567678852</v>
      </c>
      <c r="L64" s="166">
        <f t="shared" si="37"/>
        <v>5199.6599812673194</v>
      </c>
      <c r="M64"/>
      <c r="N64"/>
      <c r="O64"/>
      <c r="P64"/>
      <c r="Q64"/>
      <c r="R64"/>
      <c r="S64"/>
      <c r="T64"/>
    </row>
    <row r="65" spans="2:20" ht="15.75">
      <c r="B65" s="226"/>
      <c r="C65" s="203" t="s">
        <v>257</v>
      </c>
      <c r="D65" s="204"/>
      <c r="G65" s="146">
        <f>G$61*G69</f>
        <v>2160.6960000000026</v>
      </c>
      <c r="H65" s="146">
        <f t="shared" ref="H65:L65" si="38">H$61*H69</f>
        <v>2625.956012544003</v>
      </c>
      <c r="I65" s="146">
        <f t="shared" si="38"/>
        <v>3190.2239725608993</v>
      </c>
      <c r="J65" s="146">
        <f t="shared" si="38"/>
        <v>3874.367586777862</v>
      </c>
      <c r="K65" s="146">
        <f t="shared" si="38"/>
        <v>4703.6179323296528</v>
      </c>
      <c r="L65" s="166">
        <f t="shared" si="38"/>
        <v>5708.4757238543525</v>
      </c>
      <c r="M65"/>
      <c r="N65"/>
      <c r="O65"/>
      <c r="P65"/>
      <c r="Q65"/>
      <c r="R65"/>
      <c r="S65"/>
      <c r="T65"/>
    </row>
    <row r="66" spans="2:20" ht="15.75">
      <c r="B66" s="226"/>
      <c r="C66" s="208" t="s">
        <v>245</v>
      </c>
      <c r="D66" s="209"/>
      <c r="E66" s="117">
        <f>E62/E61</f>
        <v>0.213065755764304</v>
      </c>
      <c r="F66" s="117">
        <f>F62/F61</f>
        <v>0.20438282647584974</v>
      </c>
      <c r="L66" s="165"/>
      <c r="M66"/>
      <c r="N66"/>
      <c r="O66"/>
      <c r="P66"/>
      <c r="Q66"/>
      <c r="R66"/>
      <c r="S66"/>
      <c r="T66"/>
    </row>
    <row r="67" spans="2:20" ht="15.75">
      <c r="B67" s="226"/>
      <c r="C67" s="203" t="s">
        <v>255</v>
      </c>
      <c r="D67" s="204"/>
      <c r="E67" s="117"/>
      <c r="F67" s="117"/>
      <c r="G67" s="117">
        <v>0.20438282647584974</v>
      </c>
      <c r="H67" s="117">
        <f>G67-0.003</f>
        <v>0.20138282647584974</v>
      </c>
      <c r="I67" s="117">
        <f t="shared" ref="I67:L67" si="39">H67-0.003</f>
        <v>0.19838282647584973</v>
      </c>
      <c r="J67" s="117">
        <f t="shared" si="39"/>
        <v>0.19538282647584973</v>
      </c>
      <c r="K67" s="117">
        <f t="shared" si="39"/>
        <v>0.19238282647584973</v>
      </c>
      <c r="L67" s="167">
        <f t="shared" si="39"/>
        <v>0.18938282647584972</v>
      </c>
      <c r="M67"/>
      <c r="N67"/>
      <c r="O67"/>
      <c r="P67"/>
      <c r="Q67"/>
      <c r="R67"/>
      <c r="S67"/>
      <c r="T67"/>
    </row>
    <row r="68" spans="2:20" ht="15.75">
      <c r="B68" s="226"/>
      <c r="C68" s="203" t="s">
        <v>256</v>
      </c>
      <c r="D68" s="204"/>
      <c r="E68" s="117"/>
      <c r="F68" s="117"/>
      <c r="G68" s="117">
        <v>0.20438282647584999</v>
      </c>
      <c r="H68" s="117">
        <f>G68</f>
        <v>0.20438282647584999</v>
      </c>
      <c r="I68" s="117">
        <f t="shared" ref="I68:L68" si="40">H68</f>
        <v>0.20438282647584999</v>
      </c>
      <c r="J68" s="117">
        <f t="shared" si="40"/>
        <v>0.20438282647584999</v>
      </c>
      <c r="K68" s="117">
        <f t="shared" si="40"/>
        <v>0.20438282647584999</v>
      </c>
      <c r="L68" s="167">
        <f t="shared" si="40"/>
        <v>0.20438282647584999</v>
      </c>
      <c r="M68"/>
      <c r="N68"/>
      <c r="O68"/>
      <c r="P68"/>
      <c r="Q68"/>
      <c r="R68"/>
      <c r="S68"/>
      <c r="T68"/>
    </row>
    <row r="69" spans="2:20" ht="15.75">
      <c r="B69" s="226"/>
      <c r="C69" s="203" t="s">
        <v>257</v>
      </c>
      <c r="D69" s="204"/>
      <c r="E69" s="117"/>
      <c r="F69" s="117"/>
      <c r="G69" s="117">
        <f>G68</f>
        <v>0.20438282647584999</v>
      </c>
      <c r="H69" s="117">
        <f>G69+0.004</f>
        <v>0.20838282647584999</v>
      </c>
      <c r="I69" s="117">
        <f t="shared" ref="I69:L69" si="41">H69+0.004</f>
        <v>0.21238282647585</v>
      </c>
      <c r="J69" s="117">
        <f t="shared" si="41"/>
        <v>0.21638282647585</v>
      </c>
      <c r="K69" s="117">
        <f t="shared" si="41"/>
        <v>0.22038282647585</v>
      </c>
      <c r="L69" s="167">
        <f t="shared" si="41"/>
        <v>0.22438282647585001</v>
      </c>
      <c r="M69"/>
      <c r="N69"/>
      <c r="O69"/>
      <c r="P69"/>
      <c r="Q69"/>
      <c r="R69"/>
      <c r="S69"/>
      <c r="T69"/>
    </row>
    <row r="70" spans="2:20" ht="15.75">
      <c r="B70" s="227"/>
      <c r="C70" s="173"/>
      <c r="D70" s="173"/>
      <c r="E70" s="117"/>
      <c r="F70" s="117"/>
      <c r="G70" s="117"/>
      <c r="H70" s="117"/>
      <c r="I70" s="117"/>
      <c r="J70" s="117"/>
      <c r="K70" s="117"/>
      <c r="L70" s="167"/>
      <c r="M70"/>
      <c r="N70"/>
      <c r="O70"/>
      <c r="P70"/>
      <c r="Q70"/>
      <c r="R70"/>
      <c r="S70"/>
      <c r="T70"/>
    </row>
    <row r="71" spans="2:20" ht="15.75">
      <c r="B71" s="228"/>
      <c r="C71" s="52" t="s">
        <v>258</v>
      </c>
      <c r="D71" s="144">
        <v>0.14199999999999999</v>
      </c>
      <c r="E71" s="151"/>
      <c r="F71" s="151"/>
      <c r="G71" s="151"/>
      <c r="H71" s="151"/>
      <c r="I71" s="151"/>
      <c r="J71" s="151"/>
      <c r="K71" s="151"/>
      <c r="L71" s="168"/>
      <c r="M71"/>
      <c r="N71"/>
      <c r="O71"/>
      <c r="P71"/>
      <c r="Q71"/>
      <c r="R71"/>
      <c r="S71"/>
      <c r="T71"/>
    </row>
    <row r="72" spans="2:20" ht="15.95" customHeight="1">
      <c r="B72" s="226" t="s">
        <v>251</v>
      </c>
      <c r="C72" s="206" t="s">
        <v>243</v>
      </c>
      <c r="D72" s="207"/>
      <c r="E72" s="146">
        <v>8082</v>
      </c>
      <c r="F72" s="146">
        <v>10107</v>
      </c>
      <c r="G72" s="146">
        <f>F72*(1+$D$71-0.01)</f>
        <v>11441.124</v>
      </c>
      <c r="H72" s="146">
        <f>G72*(1+$D$71)</f>
        <v>13065.763607999999</v>
      </c>
      <c r="I72" s="146">
        <f>H72*(1+$D$71)</f>
        <v>14921.102040335998</v>
      </c>
      <c r="J72" s="146">
        <f>I72*(1+$D$71)</f>
        <v>17039.898530063707</v>
      </c>
      <c r="K72" s="146">
        <f>J72*(1+$D$71)</f>
        <v>19459.564121332751</v>
      </c>
      <c r="L72" s="166">
        <f>K72*(1+$D$71)</f>
        <v>22222.822226561999</v>
      </c>
      <c r="M72"/>
      <c r="N72"/>
      <c r="O72"/>
      <c r="P72"/>
      <c r="Q72"/>
      <c r="R72"/>
      <c r="S72"/>
      <c r="T72"/>
    </row>
    <row r="73" spans="2:20" ht="15.75">
      <c r="B73" s="226"/>
      <c r="C73" s="208" t="s">
        <v>244</v>
      </c>
      <c r="D73" s="209"/>
      <c r="E73" s="146">
        <v>1060</v>
      </c>
      <c r="F73" s="146">
        <v>1418</v>
      </c>
      <c r="G73" s="146"/>
      <c r="H73" s="146"/>
      <c r="I73" s="146"/>
      <c r="J73" s="146"/>
      <c r="K73" s="146"/>
      <c r="L73" s="166"/>
      <c r="M73"/>
      <c r="N73"/>
      <c r="O73"/>
      <c r="P73"/>
      <c r="Q73"/>
      <c r="R73"/>
      <c r="S73"/>
      <c r="T73"/>
    </row>
    <row r="74" spans="2:20" ht="15.75">
      <c r="B74" s="226"/>
      <c r="C74" s="203" t="s">
        <v>255</v>
      </c>
      <c r="D74" s="204"/>
      <c r="G74" s="146">
        <f>G$72*G78</f>
        <v>1628.0582479999998</v>
      </c>
      <c r="H74" s="146">
        <f t="shared" ref="H74:L74" si="42">H$72*H78</f>
        <v>1859.2425192159999</v>
      </c>
      <c r="I74" s="146">
        <f t="shared" si="42"/>
        <v>2123.2549569446714</v>
      </c>
      <c r="J74" s="146">
        <f t="shared" si="42"/>
        <v>2424.7571608308144</v>
      </c>
      <c r="K74" s="146">
        <f t="shared" si="42"/>
        <v>2769.0726776687898</v>
      </c>
      <c r="L74" s="166">
        <f t="shared" si="42"/>
        <v>3162.280997897758</v>
      </c>
      <c r="M74"/>
      <c r="N74"/>
      <c r="O74"/>
      <c r="P74"/>
      <c r="Q74"/>
      <c r="R74"/>
      <c r="S74"/>
      <c r="T74"/>
    </row>
    <row r="75" spans="2:20" ht="15.75">
      <c r="B75" s="226"/>
      <c r="C75" s="203" t="s">
        <v>256</v>
      </c>
      <c r="D75" s="204"/>
      <c r="G75" s="146">
        <f>G$72*G79</f>
        <v>1628.0582479999998</v>
      </c>
      <c r="H75" s="146">
        <f t="shared" ref="H75:L75" si="43">H$72*H79</f>
        <v>1937.6371008639999</v>
      </c>
      <c r="I75" s="146">
        <f t="shared" si="43"/>
        <v>2302.3081814287038</v>
      </c>
      <c r="J75" s="146">
        <f t="shared" si="43"/>
        <v>2731.4753343719617</v>
      </c>
      <c r="K75" s="146">
        <f t="shared" si="43"/>
        <v>3236.1022165807763</v>
      </c>
      <c r="L75" s="166">
        <f t="shared" si="43"/>
        <v>3828.9656646946182</v>
      </c>
      <c r="M75"/>
      <c r="N75"/>
      <c r="O75"/>
      <c r="P75"/>
      <c r="Q75"/>
      <c r="R75"/>
      <c r="S75"/>
      <c r="T75"/>
    </row>
    <row r="76" spans="2:20" ht="15.75">
      <c r="B76" s="226"/>
      <c r="C76" s="203" t="s">
        <v>257</v>
      </c>
      <c r="D76" s="204"/>
      <c r="G76" s="146">
        <f>G$72*G80</f>
        <v>1628.0582479999998</v>
      </c>
      <c r="H76" s="146">
        <f t="shared" ref="H76:L76" si="44">H$72*H80</f>
        <v>1963.7686280799999</v>
      </c>
      <c r="I76" s="146">
        <f t="shared" si="44"/>
        <v>2361.9925895900478</v>
      </c>
      <c r="J76" s="146">
        <f t="shared" si="44"/>
        <v>2833.7147255523441</v>
      </c>
      <c r="K76" s="146">
        <f t="shared" si="44"/>
        <v>3391.7787295514386</v>
      </c>
      <c r="L76" s="166">
        <f t="shared" si="44"/>
        <v>4051.1938869602386</v>
      </c>
      <c r="M76"/>
      <c r="N76"/>
      <c r="O76"/>
      <c r="P76"/>
      <c r="Q76"/>
      <c r="R76"/>
      <c r="S76"/>
      <c r="T76"/>
    </row>
    <row r="77" spans="2:20" ht="15.75">
      <c r="B77" s="226"/>
      <c r="C77" s="208" t="s">
        <v>245</v>
      </c>
      <c r="D77" s="209"/>
      <c r="E77" s="117">
        <f>E73/E72</f>
        <v>0.13115565454095521</v>
      </c>
      <c r="F77" s="117">
        <f>F73/F72</f>
        <v>0.1402988028099337</v>
      </c>
      <c r="L77" s="165"/>
      <c r="M77"/>
      <c r="N77"/>
      <c r="O77"/>
      <c r="P77"/>
      <c r="Q77"/>
      <c r="R77"/>
      <c r="S77"/>
      <c r="T77"/>
    </row>
    <row r="78" spans="2:20" ht="15.75">
      <c r="B78" s="226"/>
      <c r="C78" s="203" t="s">
        <v>255</v>
      </c>
      <c r="D78" s="204"/>
      <c r="E78" s="117"/>
      <c r="F78" s="117"/>
      <c r="G78" s="117">
        <f>G79</f>
        <v>0.14229880280993371</v>
      </c>
      <c r="H78" s="117">
        <f>G78</f>
        <v>0.14229880280993371</v>
      </c>
      <c r="I78" s="117">
        <f t="shared" ref="I78:L78" si="45">H78</f>
        <v>0.14229880280993371</v>
      </c>
      <c r="J78" s="117">
        <f t="shared" si="45"/>
        <v>0.14229880280993371</v>
      </c>
      <c r="K78" s="117">
        <f t="shared" si="45"/>
        <v>0.14229880280993371</v>
      </c>
      <c r="L78" s="167">
        <f t="shared" si="45"/>
        <v>0.14229880280993371</v>
      </c>
      <c r="M78"/>
      <c r="N78"/>
      <c r="O78"/>
      <c r="P78"/>
      <c r="Q78"/>
      <c r="R78"/>
      <c r="S78"/>
      <c r="T78"/>
    </row>
    <row r="79" spans="2:20" ht="15.75">
      <c r="B79" s="226"/>
      <c r="C79" s="203" t="s">
        <v>256</v>
      </c>
      <c r="D79" s="204"/>
      <c r="E79" s="117"/>
      <c r="F79" s="117"/>
      <c r="G79" s="117">
        <f>F77+0.002</f>
        <v>0.14229880280993371</v>
      </c>
      <c r="H79" s="117">
        <f>G79+0.006</f>
        <v>0.14829880280993371</v>
      </c>
      <c r="I79" s="117">
        <f t="shared" ref="I79:L79" si="46">H79+0.006</f>
        <v>0.15429880280993372</v>
      </c>
      <c r="J79" s="117">
        <f t="shared" si="46"/>
        <v>0.16029880280993372</v>
      </c>
      <c r="K79" s="117">
        <f t="shared" si="46"/>
        <v>0.16629880280993373</v>
      </c>
      <c r="L79" s="167">
        <f t="shared" si="46"/>
        <v>0.17229880280993373</v>
      </c>
      <c r="M79"/>
      <c r="N79"/>
      <c r="O79"/>
      <c r="P79"/>
      <c r="Q79"/>
      <c r="R79"/>
      <c r="S79"/>
      <c r="T79"/>
    </row>
    <row r="80" spans="2:20" ht="15.75">
      <c r="B80" s="226"/>
      <c r="C80" s="203" t="s">
        <v>257</v>
      </c>
      <c r="D80" s="204"/>
      <c r="E80" s="117"/>
      <c r="F80" s="117"/>
      <c r="G80" s="117">
        <f>G79</f>
        <v>0.14229880280993371</v>
      </c>
      <c r="H80" s="117">
        <f>G80+0.008</f>
        <v>0.15029880280993371</v>
      </c>
      <c r="I80" s="117">
        <f t="shared" ref="I80:L80" si="47">H80+0.008</f>
        <v>0.15829880280993372</v>
      </c>
      <c r="J80" s="117">
        <f t="shared" si="47"/>
        <v>0.16629880280993373</v>
      </c>
      <c r="K80" s="117">
        <f t="shared" si="47"/>
        <v>0.17429880280993373</v>
      </c>
      <c r="L80" s="167">
        <f t="shared" si="47"/>
        <v>0.18229880280993374</v>
      </c>
      <c r="M80"/>
      <c r="N80"/>
      <c r="O80"/>
      <c r="P80"/>
      <c r="Q80"/>
      <c r="R80"/>
      <c r="S80"/>
      <c r="T80"/>
    </row>
    <row r="81" spans="2:20" ht="15.75">
      <c r="B81" s="227"/>
      <c r="C81" s="173"/>
      <c r="D81" s="173"/>
      <c r="E81" s="117"/>
      <c r="F81" s="117"/>
      <c r="G81" s="117"/>
      <c r="H81" s="117"/>
      <c r="I81" s="117"/>
      <c r="J81" s="117"/>
      <c r="K81" s="117"/>
      <c r="L81" s="167"/>
      <c r="M81"/>
      <c r="N81"/>
      <c r="O81"/>
      <c r="P81"/>
      <c r="Q81"/>
      <c r="R81"/>
      <c r="S81"/>
      <c r="T81"/>
    </row>
    <row r="82" spans="2:20" ht="15.75">
      <c r="B82" s="228"/>
      <c r="C82" s="52" t="s">
        <v>258</v>
      </c>
      <c r="D82" s="144">
        <v>0.14699999999999999</v>
      </c>
      <c r="H82" s="142"/>
      <c r="L82" s="165"/>
      <c r="M82"/>
      <c r="N82"/>
      <c r="O82"/>
      <c r="P82"/>
      <c r="Q82"/>
      <c r="R82"/>
      <c r="S82"/>
      <c r="T82"/>
    </row>
    <row r="83" spans="2:20" ht="15.95" customHeight="1">
      <c r="B83" s="229" t="s">
        <v>253</v>
      </c>
      <c r="C83" s="210" t="s">
        <v>243</v>
      </c>
      <c r="D83" s="211"/>
      <c r="E83" s="326">
        <v>3179</v>
      </c>
      <c r="F83" s="326">
        <v>4053</v>
      </c>
      <c r="G83" s="326">
        <f>F83*(1+$D$82-0.01)</f>
        <v>4608.2610000000004</v>
      </c>
      <c r="H83" s="326">
        <f>G83*(1+$D$82)</f>
        <v>5285.6753670000007</v>
      </c>
      <c r="I83" s="326">
        <f>H83*(1+$D$82)</f>
        <v>6062.6696459490013</v>
      </c>
      <c r="J83" s="326">
        <f>I83*(1+$D$82)</f>
        <v>6953.8820839035043</v>
      </c>
      <c r="K83" s="326">
        <f>J83*(1+$D$82)</f>
        <v>7976.1027502373199</v>
      </c>
      <c r="L83" s="327">
        <f>K83*(1+$D$82)</f>
        <v>9148.5898545222062</v>
      </c>
      <c r="M83"/>
      <c r="N83"/>
      <c r="O83"/>
      <c r="P83"/>
      <c r="Q83"/>
      <c r="R83"/>
      <c r="S83"/>
      <c r="T83"/>
    </row>
    <row r="84" spans="2:20" ht="15.75">
      <c r="B84" s="229"/>
      <c r="C84" s="212" t="s">
        <v>252</v>
      </c>
      <c r="D84" s="213"/>
      <c r="E84" s="328">
        <v>0</v>
      </c>
      <c r="F84" s="328">
        <v>584</v>
      </c>
      <c r="G84" s="176"/>
      <c r="H84" s="176"/>
      <c r="I84" s="176"/>
      <c r="J84" s="176"/>
      <c r="K84" s="176"/>
      <c r="L84" s="166"/>
      <c r="M84"/>
      <c r="N84"/>
      <c r="O84"/>
      <c r="P84"/>
      <c r="Q84"/>
      <c r="R84"/>
      <c r="S84"/>
      <c r="T84"/>
    </row>
    <row r="85" spans="2:20" ht="15.75">
      <c r="B85" s="229"/>
      <c r="C85" s="203" t="s">
        <v>255</v>
      </c>
      <c r="D85" s="204"/>
      <c r="E85" s="153"/>
      <c r="F85" s="153"/>
      <c r="G85" s="176">
        <f>G$83*G89</f>
        <v>664.00800000000004</v>
      </c>
      <c r="H85" s="176">
        <f t="shared" ref="H85:L85" si="48">H$83*H89</f>
        <v>751.04582526600007</v>
      </c>
      <c r="I85" s="176">
        <f t="shared" si="48"/>
        <v>849.32422228820406</v>
      </c>
      <c r="J85" s="176">
        <f t="shared" si="48"/>
        <v>960.26711879676304</v>
      </c>
      <c r="K85" s="176">
        <f t="shared" si="48"/>
        <v>1085.4741797594127</v>
      </c>
      <c r="L85" s="166">
        <f t="shared" si="48"/>
        <v>1226.7417044750018</v>
      </c>
      <c r="M85"/>
      <c r="N85"/>
      <c r="O85"/>
      <c r="P85"/>
      <c r="Q85"/>
      <c r="R85"/>
      <c r="S85"/>
      <c r="T85"/>
    </row>
    <row r="86" spans="2:20" ht="15.75">
      <c r="B86" s="229"/>
      <c r="C86" s="203" t="s">
        <v>256</v>
      </c>
      <c r="D86" s="204"/>
      <c r="E86" s="153"/>
      <c r="F86" s="153"/>
      <c r="G86" s="176">
        <f t="shared" ref="G86:L87" si="49">G$83*G90</f>
        <v>664.00800000000004</v>
      </c>
      <c r="H86" s="176">
        <f t="shared" si="49"/>
        <v>772.18852673400011</v>
      </c>
      <c r="I86" s="176">
        <f t="shared" si="49"/>
        <v>897.82557945579617</v>
      </c>
      <c r="J86" s="176">
        <f t="shared" si="49"/>
        <v>1043.7137038036051</v>
      </c>
      <c r="K86" s="176">
        <f t="shared" si="49"/>
        <v>1213.09182376321</v>
      </c>
      <c r="L86" s="166">
        <f t="shared" si="49"/>
        <v>1409.7135015654462</v>
      </c>
      <c r="M86"/>
      <c r="N86"/>
      <c r="O86"/>
      <c r="P86"/>
      <c r="Q86"/>
      <c r="R86"/>
      <c r="S86"/>
      <c r="T86"/>
    </row>
    <row r="87" spans="2:20" ht="15.75">
      <c r="B87" s="229"/>
      <c r="C87" s="203" t="s">
        <v>257</v>
      </c>
      <c r="D87" s="204"/>
      <c r="E87" s="153"/>
      <c r="F87" s="153"/>
      <c r="G87" s="176">
        <f t="shared" si="49"/>
        <v>664.00800000000004</v>
      </c>
      <c r="H87" s="176">
        <f t="shared" si="49"/>
        <v>798.6169035690001</v>
      </c>
      <c r="I87" s="176">
        <f t="shared" si="49"/>
        <v>958.45227591528624</v>
      </c>
      <c r="J87" s="176">
        <f t="shared" si="49"/>
        <v>1148.0219350621578</v>
      </c>
      <c r="K87" s="176">
        <f t="shared" si="49"/>
        <v>1372.6138787679565</v>
      </c>
      <c r="L87" s="166">
        <f t="shared" si="49"/>
        <v>1638.4282479285016</v>
      </c>
      <c r="M87"/>
      <c r="N87"/>
      <c r="O87"/>
      <c r="P87"/>
      <c r="Q87"/>
      <c r="R87"/>
      <c r="S87"/>
      <c r="T87"/>
    </row>
    <row r="88" spans="2:20" ht="15.75">
      <c r="B88" s="229"/>
      <c r="C88" s="203" t="s">
        <v>245</v>
      </c>
      <c r="D88" s="204"/>
      <c r="E88" s="177">
        <f>E84/E83</f>
        <v>0</v>
      </c>
      <c r="F88" s="178">
        <f>F84/F83</f>
        <v>0.14409079694053786</v>
      </c>
      <c r="G88" s="178"/>
      <c r="H88" s="178"/>
      <c r="I88" s="178"/>
      <c r="J88" s="178"/>
      <c r="K88" s="178"/>
      <c r="L88" s="170"/>
      <c r="M88"/>
      <c r="N88"/>
      <c r="O88"/>
      <c r="P88"/>
      <c r="Q88"/>
      <c r="R88"/>
      <c r="S88"/>
      <c r="T88"/>
    </row>
    <row r="89" spans="2:20" ht="15.75">
      <c r="B89" s="229"/>
      <c r="C89" s="203" t="s">
        <v>255</v>
      </c>
      <c r="D89" s="204"/>
      <c r="E89" s="177"/>
      <c r="F89" s="178"/>
      <c r="G89" s="154">
        <f>G90</f>
        <v>0.14409079694053786</v>
      </c>
      <c r="H89" s="154">
        <f>G89-0.002</f>
        <v>0.14209079694053786</v>
      </c>
      <c r="I89" s="154">
        <f t="shared" ref="I89:L89" si="50">H89-0.002</f>
        <v>0.14009079694053786</v>
      </c>
      <c r="J89" s="154">
        <f t="shared" si="50"/>
        <v>0.13809079694053786</v>
      </c>
      <c r="K89" s="154">
        <f t="shared" si="50"/>
        <v>0.13609079694053786</v>
      </c>
      <c r="L89" s="167">
        <f t="shared" si="50"/>
        <v>0.13409079694053785</v>
      </c>
      <c r="M89"/>
      <c r="N89"/>
      <c r="O89"/>
      <c r="P89"/>
      <c r="Q89"/>
      <c r="R89"/>
      <c r="S89"/>
      <c r="T89"/>
    </row>
    <row r="90" spans="2:20" ht="15.75">
      <c r="B90" s="229"/>
      <c r="C90" s="203" t="s">
        <v>256</v>
      </c>
      <c r="D90" s="204"/>
      <c r="E90" s="177"/>
      <c r="F90" s="178"/>
      <c r="G90" s="154">
        <f>F88</f>
        <v>0.14409079694053786</v>
      </c>
      <c r="H90" s="154">
        <f>G90+0.002</f>
        <v>0.14609079694053786</v>
      </c>
      <c r="I90" s="154">
        <f t="shared" ref="I90:L90" si="51">H90+0.002</f>
        <v>0.14809079694053787</v>
      </c>
      <c r="J90" s="154">
        <f t="shared" si="51"/>
        <v>0.15009079694053787</v>
      </c>
      <c r="K90" s="154">
        <f t="shared" si="51"/>
        <v>0.15209079694053787</v>
      </c>
      <c r="L90" s="167">
        <f t="shared" si="51"/>
        <v>0.15409079694053787</v>
      </c>
      <c r="M90"/>
      <c r="N90"/>
      <c r="O90"/>
      <c r="P90"/>
      <c r="Q90"/>
      <c r="R90"/>
      <c r="S90"/>
      <c r="T90"/>
    </row>
    <row r="91" spans="2:20" ht="15.75">
      <c r="B91" s="229"/>
      <c r="C91" s="203" t="s">
        <v>257</v>
      </c>
      <c r="D91" s="204"/>
      <c r="E91" s="177"/>
      <c r="F91" s="178"/>
      <c r="G91" s="69">
        <f>G90</f>
        <v>0.14409079694053786</v>
      </c>
      <c r="H91" s="154">
        <f>G91+0.007</f>
        <v>0.15109079694053787</v>
      </c>
      <c r="I91" s="154">
        <f t="shared" ref="I91:L91" si="52">H91+0.007</f>
        <v>0.15809079694053788</v>
      </c>
      <c r="J91" s="154">
        <f t="shared" si="52"/>
        <v>0.16509079694053788</v>
      </c>
      <c r="K91" s="154">
        <f t="shared" si="52"/>
        <v>0.17209079694053789</v>
      </c>
      <c r="L91" s="167">
        <f t="shared" si="52"/>
        <v>0.17909079694053789</v>
      </c>
      <c r="M91"/>
      <c r="N91"/>
      <c r="O91"/>
      <c r="P91"/>
      <c r="Q91"/>
      <c r="R91"/>
      <c r="S91"/>
      <c r="T91"/>
    </row>
    <row r="92" spans="2:20" ht="15.75">
      <c r="B92" s="230"/>
      <c r="C92" s="173"/>
      <c r="D92" s="173"/>
      <c r="E92" s="177"/>
      <c r="F92" s="178"/>
      <c r="G92" s="69"/>
      <c r="H92" s="154"/>
      <c r="I92" s="154"/>
      <c r="J92" s="154"/>
      <c r="K92" s="154"/>
      <c r="L92" s="167"/>
      <c r="M92"/>
      <c r="N92"/>
      <c r="O92"/>
      <c r="P92"/>
      <c r="Q92"/>
      <c r="R92"/>
      <c r="S92"/>
      <c r="T92"/>
    </row>
    <row r="93" spans="2:20" ht="15.75">
      <c r="B93" s="231"/>
      <c r="C93" s="52" t="s">
        <v>261</v>
      </c>
      <c r="D93" s="164">
        <f>_xlfn.RRI(5,G94,L94)</f>
        <v>0.15068530395425839</v>
      </c>
      <c r="E93" s="152"/>
      <c r="F93" s="152"/>
      <c r="G93" s="151"/>
      <c r="H93" s="151"/>
      <c r="I93" s="151"/>
      <c r="J93" s="151"/>
      <c r="K93" s="151"/>
      <c r="L93" s="168"/>
      <c r="M93"/>
      <c r="N93"/>
      <c r="O93"/>
      <c r="P93"/>
      <c r="Q93"/>
      <c r="R93"/>
      <c r="S93"/>
      <c r="T93"/>
    </row>
    <row r="94" spans="2:20" ht="15.95" customHeight="1">
      <c r="B94" s="229" t="s">
        <v>254</v>
      </c>
      <c r="C94" s="210" t="s">
        <v>243</v>
      </c>
      <c r="D94" s="211"/>
      <c r="E94" s="143">
        <f>SUM(E6,E17,E28,E39,E50,E61,E72,E83)</f>
        <v>100626</v>
      </c>
      <c r="F94" s="143">
        <f>SUM(F6,F17,F28,F39,F50,F61,F72,F83)</f>
        <v>123044</v>
      </c>
      <c r="G94" s="143">
        <f>SUM(G6,G17,G28,G39,G50,G61,G72,G83)</f>
        <v>140385.67599999998</v>
      </c>
      <c r="H94" s="143">
        <f t="shared" ref="H94:K94" si="53">SUM(H6,H17,H28,H39,H50,H61,H72,H83)</f>
        <v>161405.75928399997</v>
      </c>
      <c r="I94" s="143">
        <f t="shared" si="53"/>
        <v>185650.75866651998</v>
      </c>
      <c r="J94" s="143">
        <f t="shared" si="53"/>
        <v>213626.24791975622</v>
      </c>
      <c r="K94" s="143">
        <f t="shared" si="53"/>
        <v>245918.59103620876</v>
      </c>
      <c r="L94" s="171">
        <f>SUM(L6,L17,L28,L39,L50,L61,L72,L83)</f>
        <v>283208.07375696744</v>
      </c>
      <c r="M94"/>
      <c r="N94"/>
      <c r="O94"/>
      <c r="P94"/>
      <c r="Q94"/>
      <c r="R94"/>
      <c r="S94"/>
      <c r="T94"/>
    </row>
    <row r="95" spans="2:20" ht="15.75">
      <c r="B95" s="229"/>
      <c r="C95" s="212" t="s">
        <v>252</v>
      </c>
      <c r="D95" s="213"/>
      <c r="E95" s="143">
        <f>SUM(E7,E18,E29,E40,E51,E62,E73,E84)</f>
        <v>18522</v>
      </c>
      <c r="F95" s="143">
        <f>SUM(F7,F18,F29,F40,F51,F62,F73,F84)</f>
        <v>23286</v>
      </c>
      <c r="L95" s="165"/>
      <c r="M95"/>
      <c r="N95"/>
      <c r="O95"/>
      <c r="P95"/>
      <c r="Q95"/>
      <c r="R95"/>
      <c r="S95"/>
      <c r="T95"/>
    </row>
    <row r="96" spans="2:20" ht="15.75">
      <c r="B96" s="229"/>
      <c r="C96" s="203" t="s">
        <v>255</v>
      </c>
      <c r="D96" s="204"/>
      <c r="E96" s="143"/>
      <c r="F96" s="143"/>
      <c r="G96" s="91">
        <f>SUM(G8,G19,G30,G41,G52,G63,G74,G85)</f>
        <v>26494.179213000018</v>
      </c>
      <c r="H96" s="91">
        <f t="shared" ref="H96:L96" si="54">SUM(H8,H19,H30,H41,H52,H63,H74,H85)</f>
        <v>29977.404268503011</v>
      </c>
      <c r="I96" s="91">
        <f t="shared" si="54"/>
        <v>33925.141891805855</v>
      </c>
      <c r="J96" s="91">
        <f t="shared" si="54"/>
        <v>38399.803152438479</v>
      </c>
      <c r="K96" s="91">
        <f t="shared" si="54"/>
        <v>43472.175623681331</v>
      </c>
      <c r="L96" s="92">
        <f t="shared" si="54"/>
        <v>49222.533537388015</v>
      </c>
      <c r="M96"/>
      <c r="N96"/>
      <c r="O96"/>
      <c r="P96"/>
      <c r="Q96"/>
      <c r="R96"/>
      <c r="S96"/>
      <c r="T96"/>
    </row>
    <row r="97" spans="2:27" ht="15.75">
      <c r="B97" s="229"/>
      <c r="C97" s="203" t="s">
        <v>256</v>
      </c>
      <c r="D97" s="204"/>
      <c r="E97" s="143"/>
      <c r="F97" s="143"/>
      <c r="G97" s="91">
        <f>SUM(G9,G20,G31,G42,G53,G64,G75,G86)</f>
        <v>26494.179213000021</v>
      </c>
      <c r="H97" s="91">
        <f t="shared" ref="H97:L98" si="55">SUM(H9,H20,H31,H42,H53,H64,H75,H86)</f>
        <v>30674.160717484014</v>
      </c>
      <c r="I97" s="91">
        <f t="shared" si="55"/>
        <v>35530.703656668928</v>
      </c>
      <c r="J97" s="91">
        <f t="shared" si="55"/>
        <v>41175.435231901756</v>
      </c>
      <c r="K97" s="91">
        <f t="shared" si="55"/>
        <v>47738.667038304324</v>
      </c>
      <c r="L97" s="92">
        <f t="shared" si="55"/>
        <v>55372.557203467113</v>
      </c>
      <c r="M97"/>
      <c r="N97"/>
      <c r="O97"/>
      <c r="P97"/>
      <c r="Q97"/>
      <c r="R97"/>
      <c r="S97"/>
      <c r="T97"/>
    </row>
    <row r="98" spans="2:27" ht="15.75">
      <c r="B98" s="229"/>
      <c r="C98" s="203" t="s">
        <v>257</v>
      </c>
      <c r="D98" s="204"/>
      <c r="E98" s="143"/>
      <c r="F98" s="143"/>
      <c r="G98" s="91">
        <f>SUM(G10,G21,G32,G43,G54,G65,G76,G87)</f>
        <v>26494.179213000021</v>
      </c>
      <c r="H98" s="91">
        <f t="shared" si="55"/>
        <v>31363.216025219022</v>
      </c>
      <c r="I98" s="91">
        <f t="shared" si="55"/>
        <v>37122.317918615532</v>
      </c>
      <c r="J98" s="91">
        <f t="shared" si="55"/>
        <v>43933.670762708505</v>
      </c>
      <c r="K98" s="91">
        <f t="shared" si="55"/>
        <v>51988.964466049212</v>
      </c>
      <c r="L98" s="92">
        <f t="shared" si="55"/>
        <v>61514.757705811353</v>
      </c>
      <c r="M98"/>
      <c r="N98"/>
      <c r="O98"/>
      <c r="P98"/>
      <c r="Q98"/>
      <c r="R98"/>
      <c r="S98"/>
      <c r="T98"/>
    </row>
    <row r="99" spans="2:27" ht="15.75">
      <c r="B99" s="229"/>
      <c r="C99" s="216" t="s">
        <v>245</v>
      </c>
      <c r="D99" s="217"/>
      <c r="E99" s="76">
        <f>E95/E94</f>
        <v>0.1840677359728102</v>
      </c>
      <c r="F99" s="76">
        <f>F95/F94</f>
        <v>0.18924937420760055</v>
      </c>
      <c r="L99" s="165"/>
      <c r="M99"/>
      <c r="N99"/>
      <c r="O99"/>
      <c r="P99"/>
      <c r="Q99"/>
      <c r="R99"/>
      <c r="S99"/>
      <c r="T99"/>
    </row>
    <row r="100" spans="2:27" ht="15.75">
      <c r="B100" s="229"/>
      <c r="C100" s="203" t="s">
        <v>255</v>
      </c>
      <c r="D100" s="204"/>
      <c r="E100" s="76"/>
      <c r="F100" s="74"/>
      <c r="G100" s="117">
        <f>G96/G$94</f>
        <v>0.1887242343228808</v>
      </c>
      <c r="H100" s="117">
        <f t="shared" ref="H100:K100" si="56">H96/H$94</f>
        <v>0.18572698026070156</v>
      </c>
      <c r="I100" s="117">
        <f t="shared" si="56"/>
        <v>0.18273634934476501</v>
      </c>
      <c r="J100" s="117">
        <f t="shared" si="56"/>
        <v>0.17975227073623687</v>
      </c>
      <c r="K100" s="117">
        <f t="shared" si="56"/>
        <v>0.17677466124259203</v>
      </c>
      <c r="L100" s="167">
        <f>L96/L$94</f>
        <v>0.1738034261679556</v>
      </c>
      <c r="M100"/>
      <c r="N100"/>
      <c r="O100"/>
      <c r="P100"/>
      <c r="Q100"/>
      <c r="R100"/>
      <c r="S100"/>
      <c r="T100"/>
      <c r="U100" s="164"/>
      <c r="V100" s="164"/>
      <c r="W100" s="164"/>
      <c r="X100" s="164"/>
      <c r="Y100" s="164"/>
      <c r="Z100" s="164"/>
      <c r="AA100" s="164"/>
    </row>
    <row r="101" spans="2:27" ht="15.75">
      <c r="B101" s="229"/>
      <c r="C101" s="203" t="s">
        <v>256</v>
      </c>
      <c r="D101" s="204"/>
      <c r="E101" s="153"/>
      <c r="F101" s="153"/>
      <c r="G101" s="154">
        <f t="shared" ref="G101:L102" si="57">G97/G$94</f>
        <v>0.18872423432288082</v>
      </c>
      <c r="H101" s="154">
        <f t="shared" si="57"/>
        <v>0.19004378067768687</v>
      </c>
      <c r="I101" s="154">
        <f t="shared" si="57"/>
        <v>0.19138464023458091</v>
      </c>
      <c r="J101" s="154">
        <f t="shared" si="57"/>
        <v>0.1927452063258086</v>
      </c>
      <c r="K101" s="154">
        <f t="shared" si="57"/>
        <v>0.19412386366216347</v>
      </c>
      <c r="L101" s="167">
        <f t="shared" si="57"/>
        <v>0.19551899233983208</v>
      </c>
      <c r="M101"/>
      <c r="N101"/>
      <c r="O101"/>
      <c r="P101"/>
      <c r="Q101"/>
      <c r="R101"/>
      <c r="S101"/>
      <c r="T101"/>
      <c r="U101" s="164"/>
      <c r="V101" s="164"/>
      <c r="W101" s="164"/>
      <c r="X101" s="164"/>
      <c r="Y101" s="164"/>
      <c r="Z101" s="164"/>
      <c r="AA101" s="164"/>
    </row>
    <row r="102" spans="2:27" ht="15.75">
      <c r="B102" s="229"/>
      <c r="C102" s="214" t="s">
        <v>257</v>
      </c>
      <c r="D102" s="215"/>
      <c r="E102" s="155"/>
      <c r="F102" s="152"/>
      <c r="G102" s="156">
        <f t="shared" si="57"/>
        <v>0.18872423432288082</v>
      </c>
      <c r="H102" s="156">
        <f t="shared" si="57"/>
        <v>0.1943128681674498</v>
      </c>
      <c r="I102" s="156">
        <f t="shared" si="57"/>
        <v>0.19995780348680106</v>
      </c>
      <c r="J102" s="156">
        <f t="shared" si="57"/>
        <v>0.20565670740615721</v>
      </c>
      <c r="K102" s="156">
        <f t="shared" si="57"/>
        <v>0.21140721507466029</v>
      </c>
      <c r="L102" s="172">
        <f t="shared" si="57"/>
        <v>0.21720693513349379</v>
      </c>
      <c r="M102"/>
      <c r="N102"/>
      <c r="O102"/>
      <c r="P102"/>
      <c r="Q102"/>
      <c r="R102"/>
      <c r="S102"/>
      <c r="T102"/>
      <c r="U102" s="164"/>
      <c r="V102" s="164"/>
      <c r="W102" s="164"/>
      <c r="X102" s="164"/>
      <c r="Y102" s="164"/>
      <c r="Z102" s="164"/>
      <c r="AA102" s="164"/>
    </row>
    <row r="103" spans="2:27" ht="16.5" thickBot="1">
      <c r="B103" s="74"/>
      <c r="C103" s="74"/>
      <c r="D103" s="74"/>
      <c r="E103" s="77"/>
      <c r="F103" s="74"/>
      <c r="M103"/>
      <c r="N103"/>
      <c r="O103"/>
      <c r="P103"/>
      <c r="Q103"/>
      <c r="R103"/>
      <c r="S103"/>
      <c r="T103"/>
    </row>
    <row r="104" spans="2:27" ht="16.5" thickBot="1">
      <c r="B104" s="74"/>
      <c r="C104" s="147" t="s">
        <v>177</v>
      </c>
      <c r="D104" s="148"/>
      <c r="E104" s="148"/>
      <c r="F104" s="148"/>
      <c r="G104" s="149">
        <f>CHOOSE(Title!$E$9,'Revenue Build'!G96,'Revenue Build'!G97,'Revenue Build'!G98)</f>
        <v>26494.179213000021</v>
      </c>
      <c r="H104" s="149">
        <f>CHOOSE(Title!$E$9,'Revenue Build'!H96,'Revenue Build'!H97,'Revenue Build'!H98)</f>
        <v>30674.160717484014</v>
      </c>
      <c r="I104" s="149">
        <f>CHOOSE(Title!$E$9,'Revenue Build'!I96,'Revenue Build'!I97,'Revenue Build'!I98)</f>
        <v>35530.703656668928</v>
      </c>
      <c r="J104" s="149">
        <f>CHOOSE(Title!$E$9,'Revenue Build'!J96,'Revenue Build'!J97,'Revenue Build'!J98)</f>
        <v>41175.435231901756</v>
      </c>
      <c r="K104" s="149">
        <f>CHOOSE(Title!$E$9,'Revenue Build'!K96,'Revenue Build'!K97,'Revenue Build'!K98)</f>
        <v>47738.667038304324</v>
      </c>
      <c r="L104" s="150">
        <f>CHOOSE(Title!$E$9,'Revenue Build'!L96,'Revenue Build'!L97,'Revenue Build'!L98)</f>
        <v>55372.557203467113</v>
      </c>
      <c r="M104"/>
      <c r="N104"/>
      <c r="O104"/>
      <c r="P104"/>
      <c r="Q104"/>
      <c r="R104"/>
      <c r="S104"/>
      <c r="T104"/>
    </row>
    <row r="105" spans="2:27" ht="15.75">
      <c r="B105" s="74"/>
      <c r="J105" s="179"/>
      <c r="K105" s="144"/>
      <c r="M105"/>
      <c r="N105"/>
      <c r="O105"/>
      <c r="P105"/>
      <c r="Q105"/>
      <c r="R105"/>
      <c r="S105"/>
      <c r="T105"/>
    </row>
    <row r="106" spans="2:27" ht="15.75">
      <c r="B106" s="74"/>
      <c r="C106" s="74"/>
      <c r="D106" s="74"/>
      <c r="E106" s="78"/>
      <c r="F106" s="74"/>
      <c r="J106" s="179"/>
      <c r="K106" s="144"/>
      <c r="M106"/>
      <c r="N106"/>
      <c r="O106"/>
      <c r="P106"/>
      <c r="Q106"/>
      <c r="R106"/>
      <c r="S106"/>
      <c r="T106"/>
    </row>
    <row r="107" spans="2:27" ht="15.75">
      <c r="B107" s="74"/>
      <c r="C107" s="74"/>
      <c r="D107" s="74"/>
      <c r="E107" s="78"/>
      <c r="F107" s="74"/>
      <c r="J107" s="179"/>
      <c r="K107" s="144"/>
      <c r="M107"/>
      <c r="N107"/>
      <c r="O107"/>
      <c r="P107"/>
      <c r="Q107"/>
      <c r="R107"/>
      <c r="S107"/>
      <c r="T107"/>
    </row>
    <row r="108" spans="2:27" ht="15.75">
      <c r="B108" s="74"/>
      <c r="C108" s="74"/>
      <c r="D108" s="74"/>
      <c r="E108" s="79"/>
      <c r="F108" s="74"/>
      <c r="M108"/>
      <c r="N108"/>
      <c r="O108"/>
      <c r="P108"/>
      <c r="Q108"/>
      <c r="R108"/>
      <c r="S108"/>
      <c r="T108"/>
    </row>
    <row r="109" spans="2:27" ht="15.75">
      <c r="B109" s="74"/>
      <c r="C109" s="74"/>
      <c r="D109" s="74"/>
      <c r="E109" s="79"/>
      <c r="F109" s="74"/>
      <c r="M109"/>
      <c r="N109"/>
      <c r="O109"/>
      <c r="P109"/>
      <c r="Q109"/>
      <c r="R109"/>
      <c r="S109"/>
      <c r="T109"/>
    </row>
    <row r="110" spans="2:27" ht="15.75">
      <c r="B110" s="74"/>
      <c r="M110"/>
      <c r="N110"/>
      <c r="O110"/>
      <c r="P110"/>
      <c r="Q110"/>
      <c r="R110"/>
      <c r="S110"/>
      <c r="T110"/>
    </row>
    <row r="111" spans="2:27">
      <c r="B111" s="74"/>
      <c r="C111" s="74"/>
      <c r="D111" s="74"/>
      <c r="E111" s="74"/>
      <c r="F111" s="74"/>
    </row>
    <row r="112" spans="2:27">
      <c r="B112" s="74"/>
      <c r="C112" s="74"/>
      <c r="D112" s="74"/>
      <c r="E112" s="74"/>
      <c r="F112" s="74"/>
    </row>
    <row r="113" spans="2:6">
      <c r="B113" s="74"/>
      <c r="C113" s="74"/>
      <c r="D113" s="74"/>
      <c r="E113" s="74"/>
      <c r="F113" s="74"/>
    </row>
    <row r="114" spans="2:6">
      <c r="B114" s="74"/>
      <c r="C114" s="74"/>
      <c r="D114" s="74"/>
      <c r="E114" s="74"/>
      <c r="F114" s="74"/>
    </row>
    <row r="115" spans="2:6">
      <c r="B115" s="74"/>
      <c r="C115" s="74"/>
      <c r="D115" s="74"/>
      <c r="E115" s="74"/>
      <c r="F115" s="74"/>
    </row>
  </sheetData>
  <mergeCells count="91">
    <mergeCell ref="C102:D102"/>
    <mergeCell ref="C30:D30"/>
    <mergeCell ref="C29:D29"/>
    <mergeCell ref="C28:D28"/>
    <mergeCell ref="C97:D97"/>
    <mergeCell ref="C98:D98"/>
    <mergeCell ref="C99:D99"/>
    <mergeCell ref="C100:D100"/>
    <mergeCell ref="C101:D101"/>
    <mergeCell ref="C91:D91"/>
    <mergeCell ref="C94:D94"/>
    <mergeCell ref="C95:D95"/>
    <mergeCell ref="C96:D96"/>
    <mergeCell ref="C86:D86"/>
    <mergeCell ref="C87:D87"/>
    <mergeCell ref="C88:D88"/>
    <mergeCell ref="C89:D89"/>
    <mergeCell ref="C90:D90"/>
    <mergeCell ref="C80:D80"/>
    <mergeCell ref="C83:D83"/>
    <mergeCell ref="C84:D84"/>
    <mergeCell ref="C85:D85"/>
    <mergeCell ref="C75:D75"/>
    <mergeCell ref="C76:D76"/>
    <mergeCell ref="C77:D77"/>
    <mergeCell ref="C78:D78"/>
    <mergeCell ref="C79:D79"/>
    <mergeCell ref="C69:D69"/>
    <mergeCell ref="C72:D72"/>
    <mergeCell ref="C73:D73"/>
    <mergeCell ref="C74:D74"/>
    <mergeCell ref="C64:D64"/>
    <mergeCell ref="C65:D65"/>
    <mergeCell ref="C66:D66"/>
    <mergeCell ref="C67:D67"/>
    <mergeCell ref="C68:D68"/>
    <mergeCell ref="C58:D58"/>
    <mergeCell ref="C61:D61"/>
    <mergeCell ref="C62:D62"/>
    <mergeCell ref="C63:D63"/>
    <mergeCell ref="C53:D53"/>
    <mergeCell ref="C54:D54"/>
    <mergeCell ref="C55:D55"/>
    <mergeCell ref="C56:D56"/>
    <mergeCell ref="C57:D57"/>
    <mergeCell ref="C50:D50"/>
    <mergeCell ref="C51:D51"/>
    <mergeCell ref="C52:D52"/>
    <mergeCell ref="C42:D42"/>
    <mergeCell ref="C43:D43"/>
    <mergeCell ref="C44:D44"/>
    <mergeCell ref="C45:D45"/>
    <mergeCell ref="C46:D46"/>
    <mergeCell ref="C32:D32"/>
    <mergeCell ref="C33:D33"/>
    <mergeCell ref="C34:D34"/>
    <mergeCell ref="C35:D35"/>
    <mergeCell ref="C47:D47"/>
    <mergeCell ref="C4:D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9:D19"/>
    <mergeCell ref="B72:B80"/>
    <mergeCell ref="B83:B91"/>
    <mergeCell ref="C25:D25"/>
    <mergeCell ref="C20:D20"/>
    <mergeCell ref="C21:D21"/>
    <mergeCell ref="C22:D22"/>
    <mergeCell ref="C23:D23"/>
    <mergeCell ref="C24:D24"/>
    <mergeCell ref="C36:D36"/>
    <mergeCell ref="C39:D39"/>
    <mergeCell ref="C40:D40"/>
    <mergeCell ref="C41:D41"/>
    <mergeCell ref="C31:D31"/>
    <mergeCell ref="B94:B102"/>
    <mergeCell ref="B17:B25"/>
    <mergeCell ref="B6:B14"/>
    <mergeCell ref="B28:B36"/>
    <mergeCell ref="B39:B47"/>
    <mergeCell ref="B50:B58"/>
    <mergeCell ref="B61:B69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DCA4-33CE-5941-982D-DD34BB529314}">
  <sheetPr>
    <tabColor rgb="FF00B0F0"/>
  </sheetPr>
  <dimension ref="A2:U55"/>
  <sheetViews>
    <sheetView showGridLines="0" workbookViewId="0">
      <selection activeCell="Q27" sqref="Q27"/>
    </sheetView>
  </sheetViews>
  <sheetFormatPr defaultColWidth="9" defaultRowHeight="15"/>
  <cols>
    <col min="1" max="1" width="11" style="52" customWidth="1"/>
    <col min="2" max="2" width="29.125" style="52" bestFit="1" customWidth="1"/>
    <col min="3" max="4" width="11.375" style="52" bestFit="1" customWidth="1"/>
    <col min="5" max="7" width="11.125" style="52" bestFit="1" customWidth="1"/>
    <col min="8" max="8" width="11.375" style="52" bestFit="1" customWidth="1"/>
    <col min="9" max="9" width="11.625" style="52" bestFit="1" customWidth="1"/>
    <col min="10" max="13" width="12.125" style="52" bestFit="1" customWidth="1"/>
    <col min="14" max="21" width="11.625" style="52" bestFit="1" customWidth="1"/>
    <col min="22" max="16384" width="9" style="52"/>
  </cols>
  <sheetData>
    <row r="2" spans="2:21">
      <c r="B2" s="56" t="s">
        <v>235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2:21">
      <c r="B3" s="57" t="s">
        <v>155</v>
      </c>
    </row>
    <row r="4" spans="2:21">
      <c r="C4" s="60" t="str">
        <f>"FY"&amp;YEAR(C5)</f>
        <v>FY2017</v>
      </c>
      <c r="D4" s="60" t="str">
        <f t="shared" ref="D4:U4" si="0">"FY"&amp;YEAR(D5)</f>
        <v>FY2018</v>
      </c>
      <c r="E4" s="60" t="str">
        <f t="shared" si="0"/>
        <v>FY2019</v>
      </c>
      <c r="F4" s="60" t="str">
        <f t="shared" si="0"/>
        <v>FY2020</v>
      </c>
      <c r="G4" s="60" t="str">
        <f t="shared" si="0"/>
        <v>FY2021</v>
      </c>
      <c r="H4" s="60" t="str">
        <f t="shared" si="0"/>
        <v>FY2022</v>
      </c>
      <c r="I4" s="60" t="str">
        <f t="shared" si="0"/>
        <v>FY2023</v>
      </c>
      <c r="J4" s="60" t="str">
        <f t="shared" si="0"/>
        <v>FY2024</v>
      </c>
      <c r="K4" s="60" t="str">
        <f t="shared" si="0"/>
        <v>FY2025</v>
      </c>
      <c r="L4" s="60" t="str">
        <f t="shared" si="0"/>
        <v>FY2026</v>
      </c>
      <c r="M4" s="60" t="str">
        <f t="shared" si="0"/>
        <v>FY2027</v>
      </c>
      <c r="N4" s="60" t="str">
        <f t="shared" si="0"/>
        <v>FY2028</v>
      </c>
      <c r="O4" s="60" t="str">
        <f t="shared" si="0"/>
        <v>FY2029</v>
      </c>
      <c r="P4" s="60" t="str">
        <f t="shared" si="0"/>
        <v>FY2030</v>
      </c>
      <c r="Q4" s="60" t="str">
        <f t="shared" si="0"/>
        <v>FY2031</v>
      </c>
      <c r="R4" s="60" t="str">
        <f t="shared" si="0"/>
        <v>FY2032</v>
      </c>
      <c r="S4" s="60" t="str">
        <f t="shared" si="0"/>
        <v>FY2033</v>
      </c>
      <c r="T4" s="60" t="str">
        <f t="shared" si="0"/>
        <v>FY2034</v>
      </c>
      <c r="U4" s="60" t="str">
        <f t="shared" si="0"/>
        <v>FY2035</v>
      </c>
    </row>
    <row r="5" spans="2:21">
      <c r="B5" s="54"/>
      <c r="C5" s="94">
        <v>42766</v>
      </c>
      <c r="D5" s="94">
        <f>EOMONTH(C5, 12)</f>
        <v>43131</v>
      </c>
      <c r="E5" s="94">
        <f t="shared" ref="E5:H5" si="1">EOMONTH(D5, 12)</f>
        <v>43496</v>
      </c>
      <c r="F5" s="94">
        <f t="shared" si="1"/>
        <v>43861</v>
      </c>
      <c r="G5" s="94">
        <f t="shared" si="1"/>
        <v>44227</v>
      </c>
      <c r="H5" s="94">
        <f t="shared" si="1"/>
        <v>44592</v>
      </c>
      <c r="I5" s="94">
        <f t="shared" ref="I5" si="2">EOMONTH(H5, 12)</f>
        <v>44957</v>
      </c>
      <c r="J5" s="94">
        <f t="shared" ref="J5" si="3">EOMONTH(I5, 12)</f>
        <v>45322</v>
      </c>
      <c r="K5" s="94">
        <f t="shared" ref="K5" si="4">EOMONTH(J5, 12)</f>
        <v>45688</v>
      </c>
      <c r="L5" s="94">
        <f t="shared" ref="L5" si="5">EOMONTH(K5, 12)</f>
        <v>46053</v>
      </c>
      <c r="M5" s="94">
        <f t="shared" ref="M5:N5" si="6">EOMONTH(L5, 12)</f>
        <v>46418</v>
      </c>
      <c r="N5" s="94">
        <f t="shared" si="6"/>
        <v>46783</v>
      </c>
      <c r="O5" s="94">
        <f t="shared" ref="O5" si="7">EOMONTH(N5, 12)</f>
        <v>47149</v>
      </c>
      <c r="P5" s="94">
        <f t="shared" ref="P5" si="8">EOMONTH(O5, 12)</f>
        <v>47514</v>
      </c>
      <c r="Q5" s="94">
        <f t="shared" ref="Q5" si="9">EOMONTH(P5, 12)</f>
        <v>47879</v>
      </c>
      <c r="R5" s="94">
        <f t="shared" ref="R5" si="10">EOMONTH(Q5, 12)</f>
        <v>48244</v>
      </c>
      <c r="S5" s="94">
        <f t="shared" ref="S5" si="11">EOMONTH(R5, 12)</f>
        <v>48610</v>
      </c>
      <c r="T5" s="94">
        <f t="shared" ref="T5" si="12">EOMONTH(S5, 12)</f>
        <v>48975</v>
      </c>
      <c r="U5" s="94">
        <f t="shared" ref="U5" si="13">EOMONTH(T5, 12)</f>
        <v>49340</v>
      </c>
    </row>
    <row r="6" spans="2:21">
      <c r="B6" s="95" t="s">
        <v>228</v>
      </c>
      <c r="C6" s="96">
        <f>'Balance Sheet'!B21/1000</f>
        <v>3196.643</v>
      </c>
      <c r="D6" s="96">
        <f>'Balance Sheet'!C21</f>
        <v>3921</v>
      </c>
      <c r="E6" s="96">
        <f>'Balance Sheet'!D21</f>
        <v>4924</v>
      </c>
      <c r="F6" s="96">
        <f>'Balance Sheet'!E21</f>
        <v>6174</v>
      </c>
      <c r="G6" s="96">
        <f>'Balance Sheet'!F21</f>
        <v>7786</v>
      </c>
      <c r="H6" s="96">
        <f>'Balance Sheet'!G21</f>
        <v>9739</v>
      </c>
      <c r="I6" s="97">
        <f>DCF!C8*'NWC Build'!I7</f>
        <v>11332.585688038398</v>
      </c>
      <c r="J6" s="97">
        <f>DCF!D8*'NWC Build'!J7</f>
        <v>13126.838170212432</v>
      </c>
      <c r="K6" s="97">
        <f>DCF!E8*'NWC Build'!K7</f>
        <v>15212.287381079999</v>
      </c>
      <c r="L6" s="97">
        <f>DCF!F8*'NWC Build'!L7</f>
        <v>17637.077011725738</v>
      </c>
      <c r="M6" s="97">
        <f>DCF!G8*'NWC Build'!M7</f>
        <v>20457.421966770264</v>
      </c>
      <c r="N6" s="97">
        <f>DCF!H8*'NWC Build'!N7</f>
        <v>23156.282674190305</v>
      </c>
      <c r="O6" s="97">
        <f>DCF!I8*'NWC Build'!O7</f>
        <v>25676.583363649515</v>
      </c>
      <c r="P6" s="97">
        <f>DCF!J8*'NWC Build'!P7</f>
        <v>27982.134177807384</v>
      </c>
      <c r="Q6" s="97">
        <f>DCF!K8*'NWC Build'!Q7</f>
        <v>30055.005043860874</v>
      </c>
      <c r="R6" s="97">
        <f>DCF!L8*'NWC Build'!R7</f>
        <v>31891.806295308459</v>
      </c>
      <c r="S6" s="97">
        <f>DCF!M8*'NWC Build'!S7</f>
        <v>33499.778093804045</v>
      </c>
      <c r="T6" s="97">
        <f>DCF!N8*'NWC Build'!T7</f>
        <v>34893.240282612787</v>
      </c>
      <c r="U6" s="98">
        <f>DCF!O8*'NWC Build'!U7</f>
        <v>36090.665798245122</v>
      </c>
    </row>
    <row r="7" spans="2:21">
      <c r="B7" s="64" t="s">
        <v>229</v>
      </c>
      <c r="C7" s="99">
        <f>C6/'Income Statement'!B21</f>
        <v>0.37888384496859073</v>
      </c>
      <c r="D7" s="99">
        <f>D6/'Income Statement'!C21</f>
        <v>0.37201138519924098</v>
      </c>
      <c r="E7" s="99">
        <f>E6/'Income Statement'!D21</f>
        <v>0.37072730010540583</v>
      </c>
      <c r="F7" s="99">
        <f>F6/'Income Statement'!E21</f>
        <v>0.36109486489647913</v>
      </c>
      <c r="G7" s="99">
        <f>G6/'Income Statement'!F21</f>
        <v>0.36636551853943156</v>
      </c>
      <c r="H7" s="99">
        <f>H6/'Income Statement'!G21</f>
        <v>0.3676204137097992</v>
      </c>
      <c r="I7" s="100">
        <f>AVERAGE($C$7:$H$7)</f>
        <v>0.36945055456982462</v>
      </c>
      <c r="J7" s="100">
        <f t="shared" ref="J7:U7" si="14">AVERAGE($C$7:$H$7)</f>
        <v>0.36945055456982462</v>
      </c>
      <c r="K7" s="100">
        <f t="shared" si="14"/>
        <v>0.36945055456982462</v>
      </c>
      <c r="L7" s="100">
        <f t="shared" si="14"/>
        <v>0.36945055456982462</v>
      </c>
      <c r="M7" s="100">
        <f t="shared" si="14"/>
        <v>0.36945055456982462</v>
      </c>
      <c r="N7" s="100">
        <f t="shared" si="14"/>
        <v>0.36945055456982462</v>
      </c>
      <c r="O7" s="100">
        <f t="shared" si="14"/>
        <v>0.36945055456982462</v>
      </c>
      <c r="P7" s="100">
        <f t="shared" si="14"/>
        <v>0.36945055456982462</v>
      </c>
      <c r="Q7" s="100">
        <f t="shared" si="14"/>
        <v>0.36945055456982462</v>
      </c>
      <c r="R7" s="100">
        <f t="shared" si="14"/>
        <v>0.36945055456982462</v>
      </c>
      <c r="S7" s="100">
        <f t="shared" si="14"/>
        <v>0.36945055456982462</v>
      </c>
      <c r="T7" s="100">
        <f t="shared" si="14"/>
        <v>0.36945055456982462</v>
      </c>
      <c r="U7" s="101">
        <f t="shared" si="14"/>
        <v>0.36945055456982462</v>
      </c>
    </row>
    <row r="8" spans="2:21">
      <c r="B8" s="64" t="s">
        <v>230</v>
      </c>
      <c r="C8" s="102">
        <f>'Balance Sheet'!B22/1000</f>
        <v>279.52699999999999</v>
      </c>
      <c r="D8" s="102">
        <f>'Balance Sheet'!C22</f>
        <v>471</v>
      </c>
      <c r="E8" s="102">
        <f>'Balance Sheet'!D22</f>
        <v>629</v>
      </c>
      <c r="F8" s="102">
        <f>'Balance Sheet'!E22</f>
        <v>916</v>
      </c>
      <c r="G8" s="102">
        <f>'Balance Sheet'!F22</f>
        <v>991</v>
      </c>
      <c r="H8" s="102">
        <f>'Balance Sheet'!G22</f>
        <v>1120</v>
      </c>
      <c r="I8" s="102">
        <f>I9*DCF!C8</f>
        <v>1368.3572264351278</v>
      </c>
      <c r="J8" s="102">
        <f>J9*DCF!D8</f>
        <v>1585.0049022275514</v>
      </c>
      <c r="K8" s="102">
        <f>K9*DCF!E8</f>
        <v>1836.813234113019</v>
      </c>
      <c r="L8" s="102">
        <f>L9*DCF!F8</f>
        <v>2129.5953497762789</v>
      </c>
      <c r="M8" s="102">
        <f>M9*DCF!G8</f>
        <v>2470.1389385486518</v>
      </c>
      <c r="N8" s="102">
        <f>N9*DCF!H8</f>
        <v>2796.0138671660479</v>
      </c>
      <c r="O8" s="102">
        <f>O9*DCF!I8</f>
        <v>3100.3285007497179</v>
      </c>
      <c r="P8" s="102">
        <f>P9*DCF!J8</f>
        <v>3378.7130816663425</v>
      </c>
      <c r="Q8" s="102">
        <f>Q9*DCF!K8</f>
        <v>3629.0026366815764</v>
      </c>
      <c r="R8" s="102">
        <f>R9*DCF!L8</f>
        <v>3850.7878792671495</v>
      </c>
      <c r="S8" s="102">
        <f>S9*DCF!M8</f>
        <v>4044.9430254045164</v>
      </c>
      <c r="T8" s="102">
        <f>T9*DCF!N8</f>
        <v>4213.197129834818</v>
      </c>
      <c r="U8" s="103">
        <f>U9*DCF!O8</f>
        <v>4357.7807140703881</v>
      </c>
    </row>
    <row r="9" spans="2:21">
      <c r="B9" s="64" t="s">
        <v>229</v>
      </c>
      <c r="C9" s="99">
        <f>C8/'Income Statement'!B21</f>
        <v>3.3131089249733313E-2</v>
      </c>
      <c r="D9" s="99">
        <f>D8/'Income Statement'!C21</f>
        <v>4.4686907020872864E-2</v>
      </c>
      <c r="E9" s="99">
        <f>E8/'Income Statement'!D21</f>
        <v>4.735732570396025E-2</v>
      </c>
      <c r="F9" s="99">
        <f>F8/'Income Statement'!E21</f>
        <v>5.3573517370452683E-2</v>
      </c>
      <c r="G9" s="99">
        <f>G8/'Income Statement'!F21</f>
        <v>4.6630905326557504E-2</v>
      </c>
      <c r="H9" s="99">
        <f>H8/'Income Statement'!G21</f>
        <v>4.2276913785293677E-2</v>
      </c>
      <c r="I9" s="100">
        <f>AVERAGE($C$9:$H$9)</f>
        <v>4.4609443076145054E-2</v>
      </c>
      <c r="J9" s="100">
        <f t="shared" ref="J9:U9" si="15">AVERAGE($C$9:$H$9)</f>
        <v>4.4609443076145054E-2</v>
      </c>
      <c r="K9" s="100">
        <f t="shared" si="15"/>
        <v>4.4609443076145054E-2</v>
      </c>
      <c r="L9" s="100">
        <f t="shared" si="15"/>
        <v>4.4609443076145054E-2</v>
      </c>
      <c r="M9" s="100">
        <f t="shared" si="15"/>
        <v>4.4609443076145054E-2</v>
      </c>
      <c r="N9" s="100">
        <f t="shared" si="15"/>
        <v>4.4609443076145054E-2</v>
      </c>
      <c r="O9" s="100">
        <f t="shared" si="15"/>
        <v>4.4609443076145054E-2</v>
      </c>
      <c r="P9" s="100">
        <f t="shared" si="15"/>
        <v>4.4609443076145054E-2</v>
      </c>
      <c r="Q9" s="100">
        <f t="shared" si="15"/>
        <v>4.4609443076145054E-2</v>
      </c>
      <c r="R9" s="100">
        <f t="shared" si="15"/>
        <v>4.4609443076145054E-2</v>
      </c>
      <c r="S9" s="100">
        <f t="shared" si="15"/>
        <v>4.4609443076145054E-2</v>
      </c>
      <c r="T9" s="100">
        <f t="shared" si="15"/>
        <v>4.4609443076145054E-2</v>
      </c>
      <c r="U9" s="101">
        <f t="shared" si="15"/>
        <v>4.4609443076145054E-2</v>
      </c>
    </row>
    <row r="10" spans="2:21">
      <c r="B10" s="64" t="s">
        <v>231</v>
      </c>
      <c r="C10" s="102">
        <f>SUM('Balance Sheet'!B23:B24)/1000</f>
        <v>311.77</v>
      </c>
      <c r="D10" s="102">
        <f>SUM('Balance Sheet'!C23:C24)</f>
        <v>671</v>
      </c>
      <c r="E10" s="102">
        <f>SUM('Balance Sheet'!D23:D24)</f>
        <v>788</v>
      </c>
      <c r="F10" s="102">
        <f>SUM('Balance Sheet'!E23:E24)</f>
        <v>926</v>
      </c>
      <c r="G10" s="102">
        <f>SUM('Balance Sheet'!F23:F24)</f>
        <v>1146</v>
      </c>
      <c r="H10" s="102">
        <f>SUM('Balance Sheet'!G23:G24)</f>
        <v>1454</v>
      </c>
      <c r="I10" s="102">
        <f>I11*DCF!C8</f>
        <v>1650.8351348572171</v>
      </c>
      <c r="J10" s="102">
        <f>J11*DCF!D8</f>
        <v>1912.2066452887761</v>
      </c>
      <c r="K10" s="102">
        <f>K11*DCF!E8</f>
        <v>2215.9972297177351</v>
      </c>
      <c r="L10" s="102">
        <f>L11*DCF!F8</f>
        <v>2569.2200534491762</v>
      </c>
      <c r="M10" s="102">
        <f>M11*DCF!G8</f>
        <v>2980.0640278405767</v>
      </c>
      <c r="N10" s="102">
        <f>N11*DCF!H8</f>
        <v>3373.2112055934244</v>
      </c>
      <c r="O10" s="102">
        <f>O11*DCF!I8</f>
        <v>3740.3472717213576</v>
      </c>
      <c r="P10" s="102">
        <f>P11*DCF!J8</f>
        <v>4076.2003942111182</v>
      </c>
      <c r="Q10" s="102">
        <f>Q11*DCF!K8</f>
        <v>4378.1586718630506</v>
      </c>
      <c r="R10" s="102">
        <f>R11*DCF!L8</f>
        <v>4645.7283267600742</v>
      </c>
      <c r="S10" s="102">
        <f>S11*DCF!M8</f>
        <v>4879.964044352565</v>
      </c>
      <c r="T10" s="102">
        <f>T11*DCF!N8</f>
        <v>5082.9518181673766</v>
      </c>
      <c r="U10" s="103">
        <f>U11*DCF!O8</f>
        <v>5257.3826291928644</v>
      </c>
    </row>
    <row r="11" spans="2:21">
      <c r="B11" s="64" t="s">
        <v>229</v>
      </c>
      <c r="C11" s="99">
        <f>C10/'Income Statement'!B21</f>
        <v>3.695270830864051E-2</v>
      </c>
      <c r="D11" s="99">
        <f>D10/'Income Statement'!C21</f>
        <v>6.3662239089184058E-2</v>
      </c>
      <c r="E11" s="99">
        <f>E10/'Income Statement'!D21</f>
        <v>5.9328414395422378E-2</v>
      </c>
      <c r="F11" s="99">
        <f>F10/'Income Statement'!E21</f>
        <v>5.4158381097204354E-2</v>
      </c>
      <c r="G11" s="99">
        <f>G10/'Income Statement'!F21</f>
        <v>5.3924336533032184E-2</v>
      </c>
      <c r="H11" s="99">
        <f>H10/'Income Statement'!G21</f>
        <v>5.4884493431979466E-2</v>
      </c>
      <c r="I11" s="100">
        <f>AVERAGE($C$11:$H$11)</f>
        <v>5.3818428809243833E-2</v>
      </c>
      <c r="J11" s="100">
        <f t="shared" ref="J11:U11" si="16">AVERAGE($C$11:$H$11)</f>
        <v>5.3818428809243833E-2</v>
      </c>
      <c r="K11" s="100">
        <f t="shared" si="16"/>
        <v>5.3818428809243833E-2</v>
      </c>
      <c r="L11" s="100">
        <f t="shared" si="16"/>
        <v>5.3818428809243833E-2</v>
      </c>
      <c r="M11" s="100">
        <f t="shared" si="16"/>
        <v>5.3818428809243833E-2</v>
      </c>
      <c r="N11" s="100">
        <f t="shared" si="16"/>
        <v>5.3818428809243833E-2</v>
      </c>
      <c r="O11" s="100">
        <f t="shared" si="16"/>
        <v>5.3818428809243833E-2</v>
      </c>
      <c r="P11" s="100">
        <f t="shared" si="16"/>
        <v>5.3818428809243833E-2</v>
      </c>
      <c r="Q11" s="100">
        <f t="shared" si="16"/>
        <v>5.3818428809243833E-2</v>
      </c>
      <c r="R11" s="100">
        <f t="shared" si="16"/>
        <v>5.3818428809243833E-2</v>
      </c>
      <c r="S11" s="100">
        <f t="shared" si="16"/>
        <v>5.3818428809243833E-2</v>
      </c>
      <c r="T11" s="100">
        <f t="shared" si="16"/>
        <v>5.3818428809243833E-2</v>
      </c>
      <c r="U11" s="101">
        <f t="shared" si="16"/>
        <v>5.3818428809243833E-2</v>
      </c>
    </row>
    <row r="12" spans="2:21">
      <c r="B12" s="64" t="s">
        <v>232</v>
      </c>
      <c r="C12" s="104">
        <f>SUM(C6,C8,C10)</f>
        <v>3787.94</v>
      </c>
      <c r="D12" s="104">
        <f t="shared" ref="D12:U12" si="17">SUM(D6,D8,D10)</f>
        <v>5063</v>
      </c>
      <c r="E12" s="104">
        <f t="shared" si="17"/>
        <v>6341</v>
      </c>
      <c r="F12" s="104">
        <f t="shared" si="17"/>
        <v>8016</v>
      </c>
      <c r="G12" s="104">
        <f t="shared" si="17"/>
        <v>9923</v>
      </c>
      <c r="H12" s="104">
        <f t="shared" si="17"/>
        <v>12313</v>
      </c>
      <c r="I12" s="104">
        <f t="shared" si="17"/>
        <v>14351.778049330744</v>
      </c>
      <c r="J12" s="104">
        <f t="shared" si="17"/>
        <v>16624.049717728758</v>
      </c>
      <c r="K12" s="104">
        <f t="shared" si="17"/>
        <v>19265.097844910753</v>
      </c>
      <c r="L12" s="104">
        <f t="shared" si="17"/>
        <v>22335.892414951191</v>
      </c>
      <c r="M12" s="104">
        <f t="shared" si="17"/>
        <v>25907.624933159492</v>
      </c>
      <c r="N12" s="104">
        <f t="shared" si="17"/>
        <v>29325.507746949774</v>
      </c>
      <c r="O12" s="104">
        <f t="shared" si="17"/>
        <v>32517.259136120592</v>
      </c>
      <c r="P12" s="104">
        <f t="shared" si="17"/>
        <v>35437.047653684844</v>
      </c>
      <c r="Q12" s="104">
        <f t="shared" si="17"/>
        <v>38062.166352405497</v>
      </c>
      <c r="R12" s="104">
        <f t="shared" si="17"/>
        <v>40388.322501335679</v>
      </c>
      <c r="S12" s="104">
        <f t="shared" si="17"/>
        <v>42424.685163561124</v>
      </c>
      <c r="T12" s="104">
        <f t="shared" si="17"/>
        <v>44189.389230614979</v>
      </c>
      <c r="U12" s="105">
        <f t="shared" si="17"/>
        <v>45705.829141508373</v>
      </c>
    </row>
    <row r="13" spans="2:21">
      <c r="B13" s="106" t="s">
        <v>229</v>
      </c>
      <c r="C13" s="107">
        <f>C12/'Income Statement'!B21</f>
        <v>0.44896764252696458</v>
      </c>
      <c r="D13" s="107">
        <f>D12/'Income Statement'!C21</f>
        <v>0.4803605313092979</v>
      </c>
      <c r="E13" s="107">
        <f>E12/'Income Statement'!D21</f>
        <v>0.47741304020478842</v>
      </c>
      <c r="F13" s="107">
        <f>F12/'Income Statement'!E21</f>
        <v>0.46882676336413615</v>
      </c>
      <c r="G13" s="107">
        <f>G12/'Income Statement'!F21</f>
        <v>0.46692076039902125</v>
      </c>
      <c r="H13" s="107">
        <f>H12/'Income Statement'!G21</f>
        <v>0.46478182092707232</v>
      </c>
      <c r="I13" s="107">
        <f>I12/DCF!C8</f>
        <v>0.46787842645521349</v>
      </c>
      <c r="J13" s="107">
        <f>J12/DCF!D8</f>
        <v>0.46787842645521349</v>
      </c>
      <c r="K13" s="107">
        <f>K12/DCF!E8</f>
        <v>0.46787842645521349</v>
      </c>
      <c r="L13" s="107">
        <f>L12/DCF!F8</f>
        <v>0.46787842645521344</v>
      </c>
      <c r="M13" s="107">
        <f>M12/DCF!G8</f>
        <v>0.46787842645521355</v>
      </c>
      <c r="N13" s="107">
        <f>N12/DCF!H8</f>
        <v>0.46787842645521344</v>
      </c>
      <c r="O13" s="107">
        <f>O12/DCF!I8</f>
        <v>0.46787842645521355</v>
      </c>
      <c r="P13" s="107">
        <f>P12/DCF!J8</f>
        <v>0.46787842645521349</v>
      </c>
      <c r="Q13" s="107">
        <f>Q12/DCF!K8</f>
        <v>0.46787842645521344</v>
      </c>
      <c r="R13" s="107">
        <f>R12/DCF!L8</f>
        <v>0.46787842645521344</v>
      </c>
      <c r="S13" s="107">
        <f>S12/DCF!M8</f>
        <v>0.46787842645521344</v>
      </c>
      <c r="T13" s="107">
        <f>T12/DCF!N8</f>
        <v>0.46787842645521344</v>
      </c>
      <c r="U13" s="108">
        <f>U12/DCF!O8</f>
        <v>0.46787842645521349</v>
      </c>
    </row>
    <row r="15" spans="2:21">
      <c r="B15" s="95" t="s">
        <v>233</v>
      </c>
      <c r="C15" s="109">
        <f>'Balance Sheet'!B44/1000</f>
        <v>1752.664</v>
      </c>
      <c r="D15" s="109">
        <f>SUM('Balance Sheet'!C43:C46)</f>
        <v>2047</v>
      </c>
      <c r="E15" s="109">
        <f>'Balance Sheet'!D44</f>
        <v>2691</v>
      </c>
      <c r="F15" s="109">
        <f>'Balance Sheet'!E44</f>
        <v>3433</v>
      </c>
      <c r="G15" s="109">
        <f>'Balance Sheet'!F44</f>
        <v>4355</v>
      </c>
      <c r="H15" s="109">
        <f>'Balance Sheet'!G44</f>
        <v>5474</v>
      </c>
      <c r="I15" s="96">
        <f>I16*DCF!C$8</f>
        <v>6221.1647083824764</v>
      </c>
      <c r="J15" s="96">
        <f>J16*DCF!D$8</f>
        <v>7206.1420584157222</v>
      </c>
      <c r="K15" s="96">
        <f>K16*DCF!E$8</f>
        <v>8350.9754961604249</v>
      </c>
      <c r="L15" s="96">
        <f>L16*DCF!F$8</f>
        <v>9682.0941032182436</v>
      </c>
      <c r="M15" s="96">
        <f>M16*DCF!G$8</f>
        <v>11230.357754849598</v>
      </c>
      <c r="N15" s="96">
        <f>N16*DCF!H$8</f>
        <v>12711.931108719204</v>
      </c>
      <c r="O15" s="96">
        <f>O16*DCF!I$8</f>
        <v>14095.481706560713</v>
      </c>
      <c r="P15" s="96">
        <f>P16*DCF!J$8</f>
        <v>15361.142673374381</v>
      </c>
      <c r="Q15" s="96">
        <f>Q16*DCF!K$8</f>
        <v>16499.071071351344</v>
      </c>
      <c r="R15" s="96">
        <f>R16*DCF!L$8</f>
        <v>17507.406100653596</v>
      </c>
      <c r="S15" s="96">
        <f>S16*DCF!M$8</f>
        <v>18390.122338610989</v>
      </c>
      <c r="T15" s="96">
        <f>T16*DCF!N$8</f>
        <v>19155.080842355856</v>
      </c>
      <c r="U15" s="110">
        <f>U16*DCF!O$8</f>
        <v>19812.422561521627</v>
      </c>
    </row>
    <row r="16" spans="2:21">
      <c r="B16" s="111" t="s">
        <v>229</v>
      </c>
      <c r="C16" s="99">
        <f>C15/'Income Statement'!B21</f>
        <v>0.20773545098968826</v>
      </c>
      <c r="D16" s="99">
        <f>D15/'Income Statement'!C21</f>
        <v>0.19421252371916509</v>
      </c>
      <c r="E16" s="99">
        <f>E15/'Income Statement'!D21</f>
        <v>0.20260502936304772</v>
      </c>
      <c r="F16" s="99">
        <f>F15/'Income Statement'!E21</f>
        <v>0.20078371739384723</v>
      </c>
      <c r="G16" s="99">
        <f>G15/'Income Statement'!F21</f>
        <v>0.2049218897044984</v>
      </c>
      <c r="H16" s="99">
        <f>H15/'Income Statement'!G21</f>
        <v>0.20662841612562283</v>
      </c>
      <c r="I16" s="100">
        <f>AVERAGE($C$16:$H$16)</f>
        <v>0.2028145045493116</v>
      </c>
      <c r="J16" s="100">
        <f t="shared" ref="J16:U16" si="18">AVERAGE($C$16:$H$16)</f>
        <v>0.2028145045493116</v>
      </c>
      <c r="K16" s="100">
        <f t="shared" si="18"/>
        <v>0.2028145045493116</v>
      </c>
      <c r="L16" s="100">
        <f t="shared" si="18"/>
        <v>0.2028145045493116</v>
      </c>
      <c r="M16" s="100">
        <f t="shared" si="18"/>
        <v>0.2028145045493116</v>
      </c>
      <c r="N16" s="100">
        <f t="shared" si="18"/>
        <v>0.2028145045493116</v>
      </c>
      <c r="O16" s="100">
        <f t="shared" si="18"/>
        <v>0.2028145045493116</v>
      </c>
      <c r="P16" s="100">
        <f t="shared" si="18"/>
        <v>0.2028145045493116</v>
      </c>
      <c r="Q16" s="100">
        <f t="shared" si="18"/>
        <v>0.2028145045493116</v>
      </c>
      <c r="R16" s="100">
        <f t="shared" si="18"/>
        <v>0.2028145045493116</v>
      </c>
      <c r="S16" s="100">
        <f t="shared" si="18"/>
        <v>0.2028145045493116</v>
      </c>
      <c r="T16" s="100">
        <f t="shared" si="18"/>
        <v>0.2028145045493116</v>
      </c>
      <c r="U16" s="101">
        <f t="shared" si="18"/>
        <v>0.2028145045493116</v>
      </c>
    </row>
    <row r="17" spans="2:21">
      <c r="B17" s="64" t="s">
        <v>234</v>
      </c>
      <c r="C17" s="112">
        <f>'Balance Sheet'!B49/1000</f>
        <v>5542.8019999999997</v>
      </c>
      <c r="D17" s="112">
        <f>'Balance Sheet'!C49</f>
        <v>6995</v>
      </c>
      <c r="E17" s="112">
        <f>'Balance Sheet'!D49</f>
        <v>8564</v>
      </c>
      <c r="F17" s="112">
        <f>'Balance Sheet'!E49</f>
        <v>10662</v>
      </c>
      <c r="G17" s="112">
        <f>'Balance Sheet'!F49</f>
        <v>12607</v>
      </c>
      <c r="H17" s="112">
        <f>'Balance Sheet'!G49</f>
        <v>15628</v>
      </c>
      <c r="I17" s="102">
        <f>I18*DCF!C$8</f>
        <v>18003.092408865217</v>
      </c>
      <c r="J17" s="102">
        <f>J18*DCF!D$8</f>
        <v>20746.873031057945</v>
      </c>
      <c r="K17" s="102">
        <f>K18*DCF!E$8</f>
        <v>23919.384158715413</v>
      </c>
      <c r="L17" s="102">
        <f>L18*DCF!F$8</f>
        <v>27588.840980993311</v>
      </c>
      <c r="M17" s="102">
        <f>M18*DCF!G$8</f>
        <v>31834.454823881555</v>
      </c>
      <c r="N17" s="102">
        <f>N18*DCF!H$8</f>
        <v>35846.206238044739</v>
      </c>
      <c r="O17" s="102">
        <f>O18*DCF!I$8</f>
        <v>39539.164120926165</v>
      </c>
      <c r="P17" s="102">
        <f>P18*DCF!J$8</f>
        <v>42862.243681270338</v>
      </c>
      <c r="Q17" s="102">
        <f>Q18*DCF!K$8</f>
        <v>45793.357148790419</v>
      </c>
      <c r="R17" s="102">
        <f>R18*DCF!L$8</f>
        <v>48333.0355770116</v>
      </c>
      <c r="S17" s="102">
        <f>S18*DCF!M$8</f>
        <v>50497.943641033962</v>
      </c>
      <c r="T17" s="102">
        <f>T18*DCF!N$8</f>
        <v>52315.125354468881</v>
      </c>
      <c r="U17" s="103">
        <f>U18*DCF!O$8</f>
        <v>53817.352584904838</v>
      </c>
    </row>
    <row r="18" spans="2:21">
      <c r="B18" s="111" t="s">
        <v>229</v>
      </c>
      <c r="C18" s="99">
        <f>C17/'Income Statement'!B21</f>
        <v>0.65696361265852787</v>
      </c>
      <c r="D18" s="99">
        <f>D17/'Income Statement'!C21</f>
        <v>0.66366223908918409</v>
      </c>
      <c r="E18" s="99">
        <f>E17/'Income Statement'!D21</f>
        <v>0.64478241228730615</v>
      </c>
      <c r="F18" s="99">
        <f>F17/'Income Statement'!E21</f>
        <v>0.62358170546262726</v>
      </c>
      <c r="G18" s="99">
        <f>G17/'Income Statement'!F21</f>
        <v>0.5932147562582345</v>
      </c>
      <c r="H18" s="99">
        <f>H17/'Income Statement'!G21</f>
        <v>0.58991393628265132</v>
      </c>
      <c r="I18" s="99">
        <f>H18-0.003</f>
        <v>0.58691393628265132</v>
      </c>
      <c r="J18" s="99">
        <f t="shared" ref="J18:U18" si="19">I18-0.003</f>
        <v>0.58391393628265131</v>
      </c>
      <c r="K18" s="99">
        <f t="shared" si="19"/>
        <v>0.58091393628265131</v>
      </c>
      <c r="L18" s="99">
        <f t="shared" si="19"/>
        <v>0.57791393628265131</v>
      </c>
      <c r="M18" s="99">
        <f t="shared" si="19"/>
        <v>0.57491393628265131</v>
      </c>
      <c r="N18" s="99">
        <f t="shared" si="19"/>
        <v>0.5719139362826513</v>
      </c>
      <c r="O18" s="99">
        <f t="shared" si="19"/>
        <v>0.5689139362826513</v>
      </c>
      <c r="P18" s="99">
        <f t="shared" si="19"/>
        <v>0.5659139362826513</v>
      </c>
      <c r="Q18" s="99">
        <f t="shared" si="19"/>
        <v>0.56291393628265129</v>
      </c>
      <c r="R18" s="99">
        <f t="shared" si="19"/>
        <v>0.55991393628265129</v>
      </c>
      <c r="S18" s="99">
        <f t="shared" si="19"/>
        <v>0.55691393628265129</v>
      </c>
      <c r="T18" s="99">
        <f t="shared" si="19"/>
        <v>0.55391393628265129</v>
      </c>
      <c r="U18" s="113">
        <f t="shared" si="19"/>
        <v>0.55091393628265128</v>
      </c>
    </row>
    <row r="19" spans="2:21">
      <c r="B19" s="64" t="s">
        <v>133</v>
      </c>
      <c r="C19" s="102">
        <f>SUM(C15,C17)</f>
        <v>7295.4659999999994</v>
      </c>
      <c r="D19" s="102">
        <f t="shared" ref="D19:U19" si="20">SUM(D15,D17)</f>
        <v>9042</v>
      </c>
      <c r="E19" s="102">
        <f t="shared" si="20"/>
        <v>11255</v>
      </c>
      <c r="F19" s="102">
        <f t="shared" si="20"/>
        <v>14095</v>
      </c>
      <c r="G19" s="102">
        <f t="shared" si="20"/>
        <v>16962</v>
      </c>
      <c r="H19" s="102">
        <f t="shared" si="20"/>
        <v>21102</v>
      </c>
      <c r="I19" s="102">
        <f t="shared" si="20"/>
        <v>24224.257117247693</v>
      </c>
      <c r="J19" s="102">
        <f t="shared" si="20"/>
        <v>27953.015089473665</v>
      </c>
      <c r="K19" s="102">
        <f t="shared" si="20"/>
        <v>32270.359654875836</v>
      </c>
      <c r="L19" s="102">
        <f t="shared" si="20"/>
        <v>37270.935084211553</v>
      </c>
      <c r="M19" s="102">
        <f t="shared" si="20"/>
        <v>43064.812578731151</v>
      </c>
      <c r="N19" s="102">
        <f t="shared" si="20"/>
        <v>48558.137346763942</v>
      </c>
      <c r="O19" s="102">
        <f t="shared" si="20"/>
        <v>53634.645827486878</v>
      </c>
      <c r="P19" s="102">
        <f t="shared" si="20"/>
        <v>58223.386354644717</v>
      </c>
      <c r="Q19" s="102">
        <f t="shared" si="20"/>
        <v>62292.428220141766</v>
      </c>
      <c r="R19" s="102">
        <f t="shared" si="20"/>
        <v>65840.441677665192</v>
      </c>
      <c r="S19" s="102">
        <f t="shared" si="20"/>
        <v>68888.065979644947</v>
      </c>
      <c r="T19" s="102">
        <f t="shared" si="20"/>
        <v>71470.206196824729</v>
      </c>
      <c r="U19" s="102">
        <f t="shared" si="20"/>
        <v>73629.775146426458</v>
      </c>
    </row>
    <row r="20" spans="2:21">
      <c r="B20" s="114" t="s">
        <v>229</v>
      </c>
      <c r="C20" s="107">
        <f>C19/'Income Statement'!B21</f>
        <v>0.86469906364821614</v>
      </c>
      <c r="D20" s="107">
        <f>D19/'Income Statement'!C21</f>
        <v>0.85787476280834918</v>
      </c>
      <c r="E20" s="107">
        <f>E19/'Income Statement'!D21</f>
        <v>0.84738744165035385</v>
      </c>
      <c r="F20" s="107">
        <f>F19/'Income Statement'!E21</f>
        <v>0.82436542285647441</v>
      </c>
      <c r="G20" s="107">
        <f>G19/'Income Statement'!F21</f>
        <v>0.79813664596273293</v>
      </c>
      <c r="H20" s="107">
        <f>H19/'Income Statement'!G21</f>
        <v>0.7965423524082742</v>
      </c>
      <c r="I20" s="107">
        <f>I19/DCF!C8</f>
        <v>0.78972844083196281</v>
      </c>
      <c r="J20" s="107">
        <f>J19/DCF!D8</f>
        <v>0.78672844083196281</v>
      </c>
      <c r="K20" s="107">
        <f>K19/DCF!E8</f>
        <v>0.78372844083196291</v>
      </c>
      <c r="L20" s="107">
        <f>L19/DCF!F8</f>
        <v>0.78072844083196291</v>
      </c>
      <c r="M20" s="107">
        <f>M19/DCF!G8</f>
        <v>0.7777284408319628</v>
      </c>
      <c r="N20" s="107">
        <f>N19/DCF!H8</f>
        <v>0.77472844083196291</v>
      </c>
      <c r="O20" s="107">
        <f>O19/DCF!I8</f>
        <v>0.7717284408319629</v>
      </c>
      <c r="P20" s="107">
        <f>P19/DCF!J8</f>
        <v>0.7687284408319629</v>
      </c>
      <c r="Q20" s="107">
        <f>Q19/DCF!K8</f>
        <v>0.7657284408319629</v>
      </c>
      <c r="R20" s="107">
        <f>R19/DCF!L8</f>
        <v>0.76272844083196289</v>
      </c>
      <c r="S20" s="107">
        <f>S19/DCF!M8</f>
        <v>0.75972844083196289</v>
      </c>
      <c r="T20" s="107">
        <f>T19/DCF!N8</f>
        <v>0.75672844083196278</v>
      </c>
      <c r="U20" s="108">
        <f>U19/DCF!O8</f>
        <v>0.75372844083196289</v>
      </c>
    </row>
    <row r="22" spans="2:21">
      <c r="B22" s="93" t="s">
        <v>206</v>
      </c>
      <c r="C22" s="115">
        <f t="shared" ref="C22:U22" si="21">C12-C19</f>
        <v>-3507.5259999999994</v>
      </c>
      <c r="D22" s="115">
        <f t="shared" si="21"/>
        <v>-3979</v>
      </c>
      <c r="E22" s="115">
        <f t="shared" si="21"/>
        <v>-4914</v>
      </c>
      <c r="F22" s="115">
        <f t="shared" si="21"/>
        <v>-6079</v>
      </c>
      <c r="G22" s="115">
        <f t="shared" si="21"/>
        <v>-7039</v>
      </c>
      <c r="H22" s="115">
        <f t="shared" si="21"/>
        <v>-8789</v>
      </c>
      <c r="I22" s="115">
        <f t="shared" si="21"/>
        <v>-9872.4790679169491</v>
      </c>
      <c r="J22" s="115">
        <f t="shared" si="21"/>
        <v>-11328.965371744907</v>
      </c>
      <c r="K22" s="115">
        <f t="shared" si="21"/>
        <v>-13005.261809965083</v>
      </c>
      <c r="L22" s="115">
        <f t="shared" si="21"/>
        <v>-14935.042669260361</v>
      </c>
      <c r="M22" s="115">
        <f t="shared" si="21"/>
        <v>-17157.187645571659</v>
      </c>
      <c r="N22" s="115">
        <f t="shared" si="21"/>
        <v>-19232.629599814169</v>
      </c>
      <c r="O22" s="115">
        <f t="shared" si="21"/>
        <v>-21117.386691366286</v>
      </c>
      <c r="P22" s="115">
        <f t="shared" si="21"/>
        <v>-22786.338700959874</v>
      </c>
      <c r="Q22" s="115">
        <f t="shared" si="21"/>
        <v>-24230.26186773627</v>
      </c>
      <c r="R22" s="115">
        <f t="shared" si="21"/>
        <v>-25452.119176329514</v>
      </c>
      <c r="S22" s="115">
        <f t="shared" si="21"/>
        <v>-26463.380816083823</v>
      </c>
      <c r="T22" s="115">
        <f t="shared" si="21"/>
        <v>-27280.81696620975</v>
      </c>
      <c r="U22" s="116">
        <f t="shared" si="21"/>
        <v>-27923.946004918085</v>
      </c>
    </row>
    <row r="34" spans="1:4">
      <c r="A34" s="74"/>
      <c r="B34" s="74"/>
      <c r="C34" s="74"/>
      <c r="D34" s="74"/>
    </row>
    <row r="35" spans="1:4">
      <c r="A35" s="74"/>
      <c r="B35" s="198"/>
      <c r="C35" s="198"/>
      <c r="D35" s="74"/>
    </row>
    <row r="36" spans="1:4">
      <c r="A36" s="74"/>
      <c r="B36" s="74"/>
      <c r="C36" s="74"/>
      <c r="D36" s="74"/>
    </row>
    <row r="37" spans="1:4">
      <c r="A37" s="74"/>
      <c r="B37" s="74"/>
      <c r="C37" s="75"/>
      <c r="D37" s="74"/>
    </row>
    <row r="38" spans="1:4">
      <c r="A38" s="74"/>
      <c r="B38" s="74"/>
      <c r="C38" s="74"/>
      <c r="D38" s="74"/>
    </row>
    <row r="39" spans="1:4">
      <c r="A39" s="74"/>
      <c r="B39" s="74"/>
      <c r="C39" s="76"/>
      <c r="D39" s="74"/>
    </row>
    <row r="40" spans="1:4">
      <c r="A40" s="74"/>
      <c r="B40" s="74"/>
      <c r="C40" s="76"/>
      <c r="D40" s="74"/>
    </row>
    <row r="41" spans="1:4">
      <c r="A41" s="74"/>
      <c r="B41" s="74"/>
      <c r="C41" s="74"/>
      <c r="D41" s="74"/>
    </row>
    <row r="42" spans="1:4">
      <c r="A42" s="74"/>
      <c r="B42" s="74"/>
      <c r="C42" s="76"/>
      <c r="D42" s="74"/>
    </row>
    <row r="43" spans="1:4">
      <c r="A43" s="74"/>
      <c r="B43" s="74"/>
      <c r="C43" s="77"/>
      <c r="D43" s="74"/>
    </row>
    <row r="44" spans="1:4">
      <c r="A44" s="74"/>
      <c r="B44" s="74"/>
      <c r="C44" s="76"/>
      <c r="D44" s="74"/>
    </row>
    <row r="45" spans="1:4">
      <c r="A45" s="74"/>
      <c r="B45" s="74"/>
      <c r="C45" s="74"/>
      <c r="D45" s="74"/>
    </row>
    <row r="46" spans="1:4">
      <c r="A46" s="74"/>
      <c r="B46" s="74"/>
      <c r="C46" s="78"/>
      <c r="D46" s="74"/>
    </row>
    <row r="47" spans="1:4">
      <c r="A47" s="74"/>
      <c r="B47" s="74"/>
      <c r="C47" s="78"/>
      <c r="D47" s="74"/>
    </row>
    <row r="48" spans="1:4">
      <c r="A48" s="74"/>
      <c r="B48" s="74"/>
      <c r="C48" s="79"/>
      <c r="D48" s="74"/>
    </row>
    <row r="49" spans="1:4">
      <c r="A49" s="74"/>
      <c r="B49" s="74"/>
      <c r="C49" s="79"/>
      <c r="D49" s="74"/>
    </row>
    <row r="50" spans="1:4">
      <c r="A50" s="74"/>
      <c r="B50" s="74"/>
      <c r="C50" s="76"/>
      <c r="D50" s="74"/>
    </row>
    <row r="51" spans="1:4">
      <c r="A51" s="74"/>
      <c r="B51" s="74"/>
      <c r="C51" s="74"/>
      <c r="D51" s="74"/>
    </row>
    <row r="52" spans="1:4">
      <c r="A52" s="74"/>
      <c r="B52" s="74"/>
      <c r="C52" s="74"/>
      <c r="D52" s="74"/>
    </row>
    <row r="53" spans="1:4">
      <c r="A53" s="74"/>
      <c r="B53" s="74"/>
      <c r="C53" s="74"/>
      <c r="D53" s="74"/>
    </row>
    <row r="54" spans="1:4">
      <c r="A54" s="74"/>
      <c r="B54" s="74"/>
      <c r="C54" s="74"/>
      <c r="D54" s="74"/>
    </row>
    <row r="55" spans="1:4">
      <c r="A55" s="74"/>
      <c r="B55" s="74"/>
      <c r="C55" s="74"/>
      <c r="D55" s="74"/>
    </row>
  </sheetData>
  <mergeCells count="1">
    <mergeCell ref="B35:C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Title</vt:lpstr>
      <vt:lpstr>Template</vt:lpstr>
      <vt:lpstr>Historical Data&gt;&gt;</vt:lpstr>
      <vt:lpstr>Income Statement</vt:lpstr>
      <vt:lpstr>Balance Sheet</vt:lpstr>
      <vt:lpstr>Valuation &gt;&gt;</vt:lpstr>
      <vt:lpstr>Drivers</vt:lpstr>
      <vt:lpstr>Revenue Build</vt:lpstr>
      <vt:lpstr>NWC Build</vt:lpstr>
      <vt:lpstr>DCF</vt:lpstr>
      <vt:lpstr>Comps</vt:lpstr>
      <vt:lpstr>Cost of Debt</vt:lpstr>
      <vt:lpstr>'Balance Sheet'!Print_Titles</vt:lpstr>
      <vt:lpstr>'Income Statement'!Print_Titles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Zeuthen</dc:creator>
  <cp:lastModifiedBy>Brian Zeuthen</cp:lastModifiedBy>
  <dcterms:created xsi:type="dcterms:W3CDTF">2022-11-21T00:32:00Z</dcterms:created>
  <dcterms:modified xsi:type="dcterms:W3CDTF">2022-11-29T07:59:55Z</dcterms:modified>
</cp:coreProperties>
</file>