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61e80c9ac1cab67/Documents/Energy Transfer/"/>
    </mc:Choice>
  </mc:AlternateContent>
  <xr:revisionPtr revIDLastSave="0" documentId="8_{B0086B9E-5434-4FBA-BDD0-D95E04E8B2E4}" xr6:coauthVersionLast="47" xr6:coauthVersionMax="47" xr10:uidLastSave="{00000000-0000-0000-0000-000000000000}"/>
  <bookViews>
    <workbookView xWindow="-110" yWindow="-110" windowWidth="22780" windowHeight="14660" xr2:uid="{EB6EF95F-C6A9-476D-9566-B084DC7CBA73}"/>
  </bookViews>
  <sheets>
    <sheet name="Master" sheetId="2" r:id="rId1"/>
    <sheet name="DCF" sheetId="1" r:id="rId2"/>
    <sheet name="Operating Build" sheetId="4" r:id="rId3"/>
    <sheet name="Assumptions" sheetId="3" r:id="rId4"/>
    <sheet name="Comps" sheetId="5" r:id="rId5"/>
  </sheets>
  <definedNames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44655.7702777778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81029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5" l="1"/>
  <c r="I17" i="5"/>
  <c r="I18" i="5"/>
  <c r="I19" i="5"/>
  <c r="E16" i="5"/>
  <c r="F16" i="5"/>
  <c r="G16" i="5"/>
  <c r="H16" i="5"/>
  <c r="E17" i="5"/>
  <c r="F17" i="5"/>
  <c r="G17" i="5"/>
  <c r="H17" i="5"/>
  <c r="E18" i="5"/>
  <c r="F18" i="5"/>
  <c r="G18" i="5"/>
  <c r="H18" i="5"/>
  <c r="E19" i="5"/>
  <c r="F19" i="5"/>
  <c r="G19" i="5"/>
  <c r="H19" i="5"/>
  <c r="D19" i="5"/>
  <c r="D18" i="5"/>
  <c r="D17" i="5"/>
  <c r="D16" i="5"/>
  <c r="D45" i="3"/>
  <c r="E45" i="3"/>
  <c r="C45" i="3"/>
  <c r="D105" i="3"/>
  <c r="E105" i="3"/>
  <c r="C105" i="3"/>
  <c r="D104" i="3"/>
  <c r="E104" i="3"/>
  <c r="C104" i="3"/>
  <c r="D98" i="3"/>
  <c r="E98" i="3"/>
  <c r="C98" i="3"/>
  <c r="D122" i="3"/>
  <c r="E122" i="3"/>
  <c r="C122" i="3"/>
  <c r="C123" i="3"/>
  <c r="D123" i="3"/>
  <c r="E123" i="3"/>
  <c r="E128" i="3"/>
  <c r="E129" i="3" s="1"/>
  <c r="D128" i="3"/>
  <c r="D129" i="3" s="1"/>
  <c r="C128" i="3"/>
  <c r="C129" i="3" s="1"/>
  <c r="D20" i="4"/>
  <c r="E20" i="4"/>
  <c r="C20" i="4"/>
  <c r="K60" i="3"/>
  <c r="J60" i="3"/>
  <c r="I60" i="3"/>
  <c r="H60" i="3"/>
  <c r="G60" i="3"/>
  <c r="F60" i="3"/>
  <c r="D50" i="3"/>
  <c r="E50" i="3"/>
  <c r="E51" i="3" s="1"/>
  <c r="C50" i="3"/>
  <c r="D56" i="3"/>
  <c r="E56" i="3"/>
  <c r="E57" i="3" s="1"/>
  <c r="C56" i="3"/>
  <c r="D44" i="3"/>
  <c r="E44" i="3"/>
  <c r="C44" i="3"/>
  <c r="C62" i="3"/>
  <c r="D62" i="3"/>
  <c r="E62" i="3"/>
  <c r="C63" i="3"/>
  <c r="D63" i="3"/>
  <c r="E63" i="3"/>
  <c r="D38" i="3"/>
  <c r="E38" i="3"/>
  <c r="C38" i="3"/>
  <c r="D32" i="3"/>
  <c r="E32" i="3"/>
  <c r="C32" i="3"/>
  <c r="D26" i="3"/>
  <c r="E26" i="3"/>
  <c r="C26" i="3"/>
  <c r="D20" i="3"/>
  <c r="E20" i="3"/>
  <c r="C20" i="3"/>
  <c r="D14" i="3"/>
  <c r="E14" i="3"/>
  <c r="C14" i="3"/>
  <c r="C134" i="3"/>
  <c r="D134" i="3"/>
  <c r="E134" i="3"/>
  <c r="E135" i="3"/>
  <c r="E35" i="4"/>
  <c r="D25" i="4"/>
  <c r="D35" i="4"/>
  <c r="C35" i="4"/>
  <c r="D18" i="4"/>
  <c r="E18" i="4"/>
  <c r="C18" i="4"/>
  <c r="D14" i="4"/>
  <c r="E14" i="4"/>
  <c r="C14" i="4"/>
  <c r="D50" i="4"/>
  <c r="C53" i="4"/>
  <c r="C50" i="4"/>
  <c r="E44" i="4"/>
  <c r="E43" i="4"/>
  <c r="D44" i="4"/>
  <c r="D43" i="4"/>
  <c r="C43" i="4"/>
  <c r="C5" i="2"/>
  <c r="D26" i="1" s="1"/>
  <c r="E26" i="1" s="1"/>
  <c r="F26" i="1" s="1"/>
  <c r="G26" i="1" s="1"/>
  <c r="H26" i="1" s="1"/>
  <c r="P12" i="1" s="1"/>
  <c r="P25" i="1"/>
  <c r="L25" i="1"/>
  <c r="G7" i="3"/>
  <c r="H7" i="3" s="1"/>
  <c r="I7" i="3" s="1"/>
  <c r="J7" i="3" s="1"/>
  <c r="K7" i="3" s="1"/>
  <c r="D7" i="3"/>
  <c r="E7" i="3" s="1"/>
  <c r="H7" i="1"/>
  <c r="D57" i="3" l="1"/>
  <c r="D51" i="3"/>
  <c r="D135" i="3"/>
  <c r="C27" i="4"/>
  <c r="C57" i="3"/>
  <c r="C51" i="3"/>
  <c r="C73" i="4"/>
  <c r="C135" i="3"/>
  <c r="D39" i="3"/>
  <c r="E39" i="3"/>
  <c r="D33" i="3"/>
  <c r="E33" i="3"/>
  <c r="D27" i="3"/>
  <c r="E27" i="3"/>
  <c r="D21" i="3"/>
  <c r="E21" i="3"/>
  <c r="L12" i="1"/>
  <c r="C46" i="1"/>
  <c r="D4" i="3"/>
  <c r="C8" i="3"/>
  <c r="D8" i="3"/>
  <c r="D9" i="3" s="1"/>
  <c r="E8" i="3"/>
  <c r="E15" i="3"/>
  <c r="D15" i="3"/>
  <c r="C68" i="3"/>
  <c r="D68" i="3"/>
  <c r="E68" i="3"/>
  <c r="D69" i="3"/>
  <c r="E69" i="3"/>
  <c r="C74" i="3"/>
  <c r="C75" i="3" s="1"/>
  <c r="D74" i="3"/>
  <c r="E74" i="3"/>
  <c r="C80" i="3"/>
  <c r="C81" i="3" s="1"/>
  <c r="D80" i="3"/>
  <c r="D81" i="3" s="1"/>
  <c r="E80" i="3"/>
  <c r="E81" i="3" s="1"/>
  <c r="C86" i="3"/>
  <c r="D86" i="3"/>
  <c r="E86" i="3"/>
  <c r="C92" i="3"/>
  <c r="C93" i="3" s="1"/>
  <c r="D92" i="3"/>
  <c r="D93" i="3" s="1"/>
  <c r="E92" i="3"/>
  <c r="E93" i="3" s="1"/>
  <c r="C110" i="3"/>
  <c r="D110" i="3"/>
  <c r="E110" i="3"/>
  <c r="C116" i="3"/>
  <c r="C117" i="3" s="1"/>
  <c r="D116" i="3"/>
  <c r="D117" i="3" s="1"/>
  <c r="E116" i="3"/>
  <c r="E117" i="3" s="1"/>
  <c r="D4" i="4"/>
  <c r="D7" i="4"/>
  <c r="E7" i="4" s="1"/>
  <c r="G7" i="4"/>
  <c r="H7" i="4" s="1"/>
  <c r="I7" i="4" s="1"/>
  <c r="J7" i="4" s="1"/>
  <c r="K7" i="4" s="1"/>
  <c r="C21" i="4"/>
  <c r="E21" i="4"/>
  <c r="C25" i="4"/>
  <c r="C37" i="4" s="1"/>
  <c r="E25" i="4"/>
  <c r="C32" i="4"/>
  <c r="C33" i="4" s="1"/>
  <c r="C48" i="4"/>
  <c r="D48" i="4"/>
  <c r="E48" i="4"/>
  <c r="C54" i="4"/>
  <c r="C56" i="4" s="1"/>
  <c r="D54" i="4"/>
  <c r="E54" i="4"/>
  <c r="E56" i="4" s="1"/>
  <c r="D4" i="1"/>
  <c r="D7" i="1"/>
  <c r="E7" i="1" s="1"/>
  <c r="F7" i="1" s="1"/>
  <c r="G7" i="1" s="1"/>
  <c r="C37" i="1"/>
  <c r="D27" i="4" l="1"/>
  <c r="E27" i="4"/>
  <c r="E75" i="3" s="1"/>
  <c r="D56" i="4"/>
  <c r="D57" i="4" s="1"/>
  <c r="D87" i="3"/>
  <c r="D99" i="3"/>
  <c r="D111" i="3"/>
  <c r="C87" i="3"/>
  <c r="C99" i="3"/>
  <c r="C111" i="3"/>
  <c r="C45" i="1"/>
  <c r="D21" i="4"/>
  <c r="E57" i="4"/>
  <c r="E28" i="4"/>
  <c r="C28" i="4"/>
  <c r="E39" i="4"/>
  <c r="C39" i="4"/>
  <c r="E32" i="4"/>
  <c r="E33" i="4" s="1"/>
  <c r="E15" i="4"/>
  <c r="E9" i="3"/>
  <c r="D15" i="4"/>
  <c r="E111" i="3"/>
  <c r="E99" i="3"/>
  <c r="E87" i="3"/>
  <c r="D75" i="3" l="1"/>
  <c r="D37" i="4"/>
  <c r="E37" i="4"/>
  <c r="D32" i="4"/>
  <c r="D33" i="4" s="1"/>
  <c r="D28" i="4"/>
  <c r="D39" i="4"/>
  <c r="F9" i="3"/>
  <c r="F8" i="3" s="1"/>
  <c r="F8" i="4" s="1"/>
  <c r="G9" i="3"/>
  <c r="H9" i="3"/>
  <c r="I9" i="3"/>
  <c r="J9" i="3"/>
  <c r="K9" i="3"/>
  <c r="F15" i="3"/>
  <c r="F14" i="3" s="1"/>
  <c r="F9" i="4" s="1"/>
  <c r="G15" i="3"/>
  <c r="H15" i="3"/>
  <c r="I15" i="3"/>
  <c r="J15" i="3"/>
  <c r="K15" i="3"/>
  <c r="F21" i="3"/>
  <c r="F20" i="3" s="1"/>
  <c r="F10" i="4" s="1"/>
  <c r="G21" i="3"/>
  <c r="H21" i="3"/>
  <c r="I21" i="3"/>
  <c r="J21" i="3"/>
  <c r="K21" i="3"/>
  <c r="F27" i="3"/>
  <c r="F26" i="3" s="1"/>
  <c r="F11" i="4" s="1"/>
  <c r="G27" i="3"/>
  <c r="H27" i="3"/>
  <c r="I27" i="3"/>
  <c r="J27" i="3"/>
  <c r="K27" i="3"/>
  <c r="F33" i="3"/>
  <c r="F32" i="3" s="1"/>
  <c r="F12" i="4" s="1"/>
  <c r="G33" i="3"/>
  <c r="H33" i="3"/>
  <c r="I33" i="3"/>
  <c r="J33" i="3"/>
  <c r="K33" i="3"/>
  <c r="F39" i="3"/>
  <c r="F38" i="3" s="1"/>
  <c r="F13" i="4" s="1"/>
  <c r="G39" i="3"/>
  <c r="H39" i="3"/>
  <c r="I39" i="3"/>
  <c r="J39" i="3"/>
  <c r="K39" i="3"/>
  <c r="F45" i="3"/>
  <c r="G45" i="3"/>
  <c r="H45" i="3"/>
  <c r="I45" i="3"/>
  <c r="J45" i="3"/>
  <c r="K45" i="3"/>
  <c r="F51" i="3"/>
  <c r="G51" i="3"/>
  <c r="H51" i="3"/>
  <c r="I51" i="3"/>
  <c r="J51" i="3"/>
  <c r="K51" i="3"/>
  <c r="F57" i="3"/>
  <c r="G57" i="3"/>
  <c r="H57" i="3"/>
  <c r="I57" i="3"/>
  <c r="J57" i="3"/>
  <c r="K57" i="3"/>
  <c r="F63" i="3"/>
  <c r="G63" i="3"/>
  <c r="H63" i="3"/>
  <c r="I63" i="3"/>
  <c r="J63" i="3"/>
  <c r="K63" i="3"/>
  <c r="F69" i="3"/>
  <c r="F68" i="3" s="1"/>
  <c r="F35" i="4" s="1"/>
  <c r="G69" i="3"/>
  <c r="H69" i="3"/>
  <c r="I69" i="3"/>
  <c r="J69" i="3"/>
  <c r="K69" i="3"/>
  <c r="F75" i="3"/>
  <c r="C18" i="1" s="1"/>
  <c r="C40" i="1" s="1"/>
  <c r="C41" i="1" s="1"/>
  <c r="C47" i="1" s="1"/>
  <c r="G75" i="3"/>
  <c r="D18" i="1" s="1"/>
  <c r="H75" i="3"/>
  <c r="E18" i="1" s="1"/>
  <c r="I75" i="3"/>
  <c r="F18" i="1" s="1"/>
  <c r="J75" i="3"/>
  <c r="G18" i="1" s="1"/>
  <c r="K75" i="3"/>
  <c r="H18" i="1" s="1"/>
  <c r="F81" i="3"/>
  <c r="F80" i="3" s="1"/>
  <c r="F41" i="4" s="1"/>
  <c r="C21" i="1" s="1"/>
  <c r="G81" i="3"/>
  <c r="H81" i="3"/>
  <c r="I81" i="3"/>
  <c r="J81" i="3"/>
  <c r="K81" i="3"/>
  <c r="F87" i="3"/>
  <c r="G87" i="3"/>
  <c r="H87" i="3"/>
  <c r="I87" i="3"/>
  <c r="J87" i="3"/>
  <c r="K87" i="3"/>
  <c r="F93" i="3"/>
  <c r="G93" i="3"/>
  <c r="H93" i="3"/>
  <c r="I93" i="3"/>
  <c r="J93" i="3"/>
  <c r="K93" i="3"/>
  <c r="F99" i="3"/>
  <c r="F98" i="3" s="1"/>
  <c r="F45" i="4" s="1"/>
  <c r="G99" i="3"/>
  <c r="H99" i="3"/>
  <c r="I99" i="3"/>
  <c r="J99" i="3"/>
  <c r="K99" i="3"/>
  <c r="F105" i="3"/>
  <c r="F104" i="3" s="1"/>
  <c r="F46" i="4" s="1"/>
  <c r="G105" i="3"/>
  <c r="H105" i="3"/>
  <c r="I105" i="3"/>
  <c r="J105" i="3"/>
  <c r="K105" i="3"/>
  <c r="F111" i="3"/>
  <c r="G111" i="3"/>
  <c r="H111" i="3"/>
  <c r="I111" i="3"/>
  <c r="J111" i="3"/>
  <c r="K111" i="3"/>
  <c r="F117" i="3"/>
  <c r="G117" i="3"/>
  <c r="H117" i="3"/>
  <c r="I117" i="3"/>
  <c r="J117" i="3"/>
  <c r="K117" i="3"/>
  <c r="F123" i="3"/>
  <c r="F122" i="3" s="1"/>
  <c r="F51" i="4" s="1"/>
  <c r="G123" i="3"/>
  <c r="H123" i="3"/>
  <c r="I123" i="3"/>
  <c r="J123" i="3"/>
  <c r="K123" i="3"/>
  <c r="F129" i="3"/>
  <c r="F128" i="3" s="1"/>
  <c r="F52" i="4" s="1"/>
  <c r="G129" i="3"/>
  <c r="H129" i="3"/>
  <c r="I129" i="3"/>
  <c r="J129" i="3"/>
  <c r="K129" i="3"/>
  <c r="F135" i="3"/>
  <c r="G135" i="3"/>
  <c r="H135" i="3"/>
  <c r="I135" i="3"/>
  <c r="J135" i="3"/>
  <c r="K135" i="3"/>
  <c r="C4" i="4"/>
  <c r="F14" i="4" l="1"/>
  <c r="F15" i="4" s="1"/>
  <c r="C9" i="1" s="1"/>
  <c r="C4" i="3"/>
  <c r="C4" i="1"/>
  <c r="D27" i="1"/>
  <c r="E27" i="1"/>
  <c r="F27" i="1"/>
  <c r="G27" i="1"/>
  <c r="H27" i="1"/>
  <c r="G128" i="3"/>
  <c r="G122" i="3"/>
  <c r="G104" i="3"/>
  <c r="G98" i="3"/>
  <c r="G80" i="3"/>
  <c r="G68" i="3"/>
  <c r="F62" i="3"/>
  <c r="F30" i="4" s="1"/>
  <c r="C11" i="1" s="1"/>
  <c r="G38" i="3"/>
  <c r="G32" i="3"/>
  <c r="G26" i="3"/>
  <c r="G20" i="3"/>
  <c r="G14" i="3"/>
  <c r="G8" i="3"/>
  <c r="F110" i="3" l="1"/>
  <c r="F47" i="4" s="1"/>
  <c r="F134" i="3"/>
  <c r="F53" i="4" s="1"/>
  <c r="F50" i="3"/>
  <c r="F23" i="4" s="1"/>
  <c r="F56" i="3"/>
  <c r="F24" i="4" s="1"/>
  <c r="F86" i="3"/>
  <c r="F43" i="4" s="1"/>
  <c r="F44" i="3"/>
  <c r="F17" i="4" s="1"/>
  <c r="F18" i="4" s="1"/>
  <c r="F92" i="3" s="1"/>
  <c r="F44" i="4" s="1"/>
  <c r="C8" i="1"/>
  <c r="H8" i="3"/>
  <c r="G8" i="4"/>
  <c r="H14" i="3"/>
  <c r="G9" i="4"/>
  <c r="H20" i="3"/>
  <c r="G10" i="4"/>
  <c r="H26" i="3"/>
  <c r="G11" i="4"/>
  <c r="H32" i="3"/>
  <c r="G12" i="4"/>
  <c r="H38" i="3"/>
  <c r="G13" i="4"/>
  <c r="C14" i="1"/>
  <c r="C20" i="1"/>
  <c r="H68" i="3"/>
  <c r="G35" i="4"/>
  <c r="H80" i="3"/>
  <c r="G41" i="4"/>
  <c r="H98" i="3"/>
  <c r="G45" i="4"/>
  <c r="H104" i="3"/>
  <c r="G46" i="4"/>
  <c r="H122" i="3"/>
  <c r="G51" i="4"/>
  <c r="H128" i="3"/>
  <c r="G52" i="4"/>
  <c r="F116" i="3" l="1"/>
  <c r="F50" i="4" s="1"/>
  <c r="F54" i="4" s="1"/>
  <c r="F20" i="4"/>
  <c r="F21" i="4" s="1"/>
  <c r="F48" i="4"/>
  <c r="F25" i="4"/>
  <c r="C10" i="1" s="1"/>
  <c r="C12" i="1" s="1"/>
  <c r="C15" i="1" s="1"/>
  <c r="I128" i="3"/>
  <c r="H52" i="4"/>
  <c r="I122" i="3"/>
  <c r="H51" i="4"/>
  <c r="I104" i="3"/>
  <c r="H46" i="4"/>
  <c r="I98" i="3"/>
  <c r="H45" i="4"/>
  <c r="D21" i="1"/>
  <c r="G62" i="3"/>
  <c r="G30" i="4" s="1"/>
  <c r="D11" i="1" s="1"/>
  <c r="I80" i="3"/>
  <c r="H41" i="4"/>
  <c r="I68" i="3"/>
  <c r="H35" i="4"/>
  <c r="I38" i="3"/>
  <c r="H13" i="4"/>
  <c r="I32" i="3"/>
  <c r="H12" i="4"/>
  <c r="I26" i="3"/>
  <c r="H11" i="4"/>
  <c r="I20" i="3"/>
  <c r="H10" i="4"/>
  <c r="I14" i="3"/>
  <c r="H9" i="4"/>
  <c r="G14" i="4"/>
  <c r="I8" i="3"/>
  <c r="H8" i="4"/>
  <c r="F56" i="4" l="1"/>
  <c r="F57" i="4" s="1"/>
  <c r="C22" i="1" s="1"/>
  <c r="C13" i="1"/>
  <c r="F27" i="4"/>
  <c r="F28" i="4" s="1"/>
  <c r="H14" i="4"/>
  <c r="H15" i="4" s="1"/>
  <c r="E9" i="1" s="1"/>
  <c r="J8" i="3"/>
  <c r="I8" i="4"/>
  <c r="G44" i="3"/>
  <c r="G17" i="4" s="1"/>
  <c r="G18" i="4" s="1"/>
  <c r="G20" i="4" s="1"/>
  <c r="D8" i="1"/>
  <c r="G15" i="4"/>
  <c r="D9" i="1" s="1"/>
  <c r="G134" i="3"/>
  <c r="G53" i="4" s="1"/>
  <c r="G110" i="3"/>
  <c r="G47" i="4" s="1"/>
  <c r="G86" i="3"/>
  <c r="G43" i="4" s="1"/>
  <c r="G56" i="3"/>
  <c r="G24" i="4" s="1"/>
  <c r="G50" i="3"/>
  <c r="G23" i="4" s="1"/>
  <c r="J14" i="3"/>
  <c r="I9" i="4"/>
  <c r="J20" i="3"/>
  <c r="I10" i="4"/>
  <c r="J26" i="3"/>
  <c r="I11" i="4"/>
  <c r="J32" i="3"/>
  <c r="I12" i="4"/>
  <c r="J38" i="3"/>
  <c r="I13" i="4"/>
  <c r="J68" i="3"/>
  <c r="I35" i="4"/>
  <c r="E21" i="1"/>
  <c r="H62" i="3"/>
  <c r="H30" i="4" s="1"/>
  <c r="E11" i="1" s="1"/>
  <c r="J80" i="3"/>
  <c r="I41" i="4"/>
  <c r="D14" i="1"/>
  <c r="D20" i="1"/>
  <c r="J98" i="3"/>
  <c r="I45" i="4"/>
  <c r="J104" i="3"/>
  <c r="I46" i="4"/>
  <c r="J122" i="3"/>
  <c r="I51" i="4"/>
  <c r="J128" i="3"/>
  <c r="I52" i="4"/>
  <c r="C16" i="1"/>
  <c r="C17" i="1"/>
  <c r="C19" i="1" s="1"/>
  <c r="C23" i="1" l="1"/>
  <c r="C25" i="1" s="1"/>
  <c r="F74" i="3"/>
  <c r="F36" i="4" s="1"/>
  <c r="F39" i="4" s="1"/>
  <c r="F32" i="4"/>
  <c r="F33" i="4" s="1"/>
  <c r="H44" i="3"/>
  <c r="H17" i="4" s="1"/>
  <c r="H18" i="4" s="1"/>
  <c r="H20" i="4" s="1"/>
  <c r="H21" i="4" s="1"/>
  <c r="E8" i="1"/>
  <c r="H50" i="3"/>
  <c r="H23" i="4" s="1"/>
  <c r="G25" i="4"/>
  <c r="G27" i="4" s="1"/>
  <c r="H56" i="3"/>
  <c r="H24" i="4" s="1"/>
  <c r="H86" i="3"/>
  <c r="H43" i="4" s="1"/>
  <c r="H110" i="3"/>
  <c r="H47" i="4" s="1"/>
  <c r="H134" i="3"/>
  <c r="H53" i="4" s="1"/>
  <c r="K128" i="3"/>
  <c r="K52" i="4" s="1"/>
  <c r="J52" i="4"/>
  <c r="K122" i="3"/>
  <c r="K51" i="4" s="1"/>
  <c r="J51" i="4"/>
  <c r="K104" i="3"/>
  <c r="K46" i="4" s="1"/>
  <c r="J46" i="4"/>
  <c r="K98" i="3"/>
  <c r="K45" i="4" s="1"/>
  <c r="J45" i="4"/>
  <c r="F21" i="1"/>
  <c r="I62" i="3"/>
  <c r="I30" i="4" s="1"/>
  <c r="F11" i="1" s="1"/>
  <c r="K80" i="3"/>
  <c r="K41" i="4" s="1"/>
  <c r="J41" i="4"/>
  <c r="E14" i="1"/>
  <c r="E20" i="1"/>
  <c r="K68" i="3"/>
  <c r="K35" i="4" s="1"/>
  <c r="J35" i="4"/>
  <c r="K38" i="3"/>
  <c r="K13" i="4" s="1"/>
  <c r="J13" i="4"/>
  <c r="K32" i="3"/>
  <c r="K12" i="4" s="1"/>
  <c r="J12" i="4"/>
  <c r="K26" i="3"/>
  <c r="K11" i="4" s="1"/>
  <c r="J11" i="4"/>
  <c r="K20" i="3"/>
  <c r="K10" i="4" s="1"/>
  <c r="J10" i="4"/>
  <c r="K14" i="3"/>
  <c r="K9" i="4" s="1"/>
  <c r="J9" i="4"/>
  <c r="G21" i="4"/>
  <c r="G116" i="3"/>
  <c r="G50" i="4" s="1"/>
  <c r="G54" i="4" s="1"/>
  <c r="G92" i="3"/>
  <c r="G44" i="4" s="1"/>
  <c r="G48" i="4" s="1"/>
  <c r="I14" i="4"/>
  <c r="K8" i="3"/>
  <c r="K8" i="4" s="1"/>
  <c r="J8" i="4"/>
  <c r="D10" i="1" l="1"/>
  <c r="D12" i="1" s="1"/>
  <c r="D13" i="1" s="1"/>
  <c r="F37" i="4"/>
  <c r="H92" i="3"/>
  <c r="H44" i="4" s="1"/>
  <c r="H48" i="4" s="1"/>
  <c r="H116" i="3"/>
  <c r="H50" i="4" s="1"/>
  <c r="H54" i="4" s="1"/>
  <c r="J14" i="4"/>
  <c r="J44" i="3" s="1"/>
  <c r="J17" i="4" s="1"/>
  <c r="J18" i="4" s="1"/>
  <c r="J20" i="4" s="1"/>
  <c r="K14" i="4"/>
  <c r="K86" i="3" s="1"/>
  <c r="K43" i="4" s="1"/>
  <c r="G56" i="4"/>
  <c r="G57" i="4" s="1"/>
  <c r="D22" i="1" s="1"/>
  <c r="H25" i="4"/>
  <c r="I44" i="3"/>
  <c r="I17" i="4" s="1"/>
  <c r="I18" i="4" s="1"/>
  <c r="I20" i="4" s="1"/>
  <c r="F8" i="1"/>
  <c r="I15" i="4"/>
  <c r="F9" i="1" s="1"/>
  <c r="I134" i="3"/>
  <c r="I53" i="4" s="1"/>
  <c r="I110" i="3"/>
  <c r="I47" i="4" s="1"/>
  <c r="I86" i="3"/>
  <c r="I43" i="4" s="1"/>
  <c r="I56" i="3"/>
  <c r="I24" i="4" s="1"/>
  <c r="I50" i="3"/>
  <c r="I23" i="4" s="1"/>
  <c r="G28" i="4"/>
  <c r="G32" i="4"/>
  <c r="G33" i="4" s="1"/>
  <c r="G74" i="3"/>
  <c r="G36" i="4" s="1"/>
  <c r="G21" i="1"/>
  <c r="J62" i="3"/>
  <c r="J30" i="4" s="1"/>
  <c r="G11" i="1" s="1"/>
  <c r="H21" i="1"/>
  <c r="K62" i="3"/>
  <c r="K30" i="4" s="1"/>
  <c r="H11" i="1" s="1"/>
  <c r="F14" i="1"/>
  <c r="F20" i="1"/>
  <c r="H8" i="1" l="1"/>
  <c r="D15" i="1"/>
  <c r="D16" i="1" s="1"/>
  <c r="H56" i="4"/>
  <c r="H57" i="4" s="1"/>
  <c r="E22" i="1" s="1"/>
  <c r="J86" i="3"/>
  <c r="J43" i="4" s="1"/>
  <c r="I25" i="4"/>
  <c r="F10" i="1" s="1"/>
  <c r="F12" i="1" s="1"/>
  <c r="K44" i="3"/>
  <c r="K17" i="4" s="1"/>
  <c r="K18" i="4" s="1"/>
  <c r="K20" i="4" s="1"/>
  <c r="K21" i="4" s="1"/>
  <c r="J50" i="3"/>
  <c r="J23" i="4" s="1"/>
  <c r="J56" i="3"/>
  <c r="J24" i="4" s="1"/>
  <c r="J110" i="3"/>
  <c r="J47" i="4" s="1"/>
  <c r="J134" i="3"/>
  <c r="J53" i="4" s="1"/>
  <c r="K50" i="3"/>
  <c r="K23" i="4" s="1"/>
  <c r="J15" i="4"/>
  <c r="G9" i="1" s="1"/>
  <c r="K56" i="3"/>
  <c r="K24" i="4" s="1"/>
  <c r="G8" i="1"/>
  <c r="K110" i="3"/>
  <c r="K47" i="4" s="1"/>
  <c r="K134" i="3"/>
  <c r="K53" i="4" s="1"/>
  <c r="K15" i="4"/>
  <c r="H9" i="1" s="1"/>
  <c r="H27" i="4"/>
  <c r="E10" i="1"/>
  <c r="E12" i="1" s="1"/>
  <c r="H14" i="1"/>
  <c r="H20" i="1"/>
  <c r="G14" i="1"/>
  <c r="G20" i="1"/>
  <c r="G37" i="4"/>
  <c r="G39" i="4"/>
  <c r="I21" i="4"/>
  <c r="I116" i="3"/>
  <c r="I50" i="4" s="1"/>
  <c r="I54" i="4" s="1"/>
  <c r="I92" i="3"/>
  <c r="I44" i="4" s="1"/>
  <c r="I48" i="4" s="1"/>
  <c r="J21" i="4"/>
  <c r="J116" i="3"/>
  <c r="J50" i="4" s="1"/>
  <c r="J92" i="3"/>
  <c r="J44" i="4" s="1"/>
  <c r="D17" i="1" l="1"/>
  <c r="D19" i="1" s="1"/>
  <c r="D23" i="1" s="1"/>
  <c r="D25" i="1" s="1"/>
  <c r="D28" i="1" s="1"/>
  <c r="J54" i="4"/>
  <c r="I27" i="4"/>
  <c r="I74" i="3" s="1"/>
  <c r="I36" i="4" s="1"/>
  <c r="I56" i="4"/>
  <c r="I57" i="4" s="1"/>
  <c r="F22" i="1" s="1"/>
  <c r="J48" i="4"/>
  <c r="K92" i="3"/>
  <c r="K44" i="4" s="1"/>
  <c r="K48" i="4" s="1"/>
  <c r="K116" i="3"/>
  <c r="K50" i="4" s="1"/>
  <c r="K54" i="4" s="1"/>
  <c r="K25" i="4"/>
  <c r="H10" i="1" s="1"/>
  <c r="H12" i="1" s="1"/>
  <c r="J25" i="4"/>
  <c r="E13" i="1"/>
  <c r="E15" i="1"/>
  <c r="H74" i="3"/>
  <c r="H36" i="4" s="1"/>
  <c r="H28" i="4"/>
  <c r="H32" i="4"/>
  <c r="H33" i="4" s="1"/>
  <c r="F13" i="1"/>
  <c r="F15" i="1"/>
  <c r="I32" i="4" l="1"/>
  <c r="I33" i="4" s="1"/>
  <c r="I28" i="4"/>
  <c r="J56" i="4"/>
  <c r="J57" i="4" s="1"/>
  <c r="G22" i="1" s="1"/>
  <c r="K56" i="4"/>
  <c r="L9" i="1"/>
  <c r="L11" i="1" s="1"/>
  <c r="L13" i="1" s="1"/>
  <c r="L17" i="1" s="1"/>
  <c r="H13" i="1"/>
  <c r="H15" i="1"/>
  <c r="H16" i="1" s="1"/>
  <c r="K27" i="4"/>
  <c r="G10" i="1"/>
  <c r="G12" i="1" s="1"/>
  <c r="J27" i="4"/>
  <c r="H37" i="4"/>
  <c r="H39" i="4"/>
  <c r="E16" i="1"/>
  <c r="E17" i="1"/>
  <c r="E19" i="1" s="1"/>
  <c r="E23" i="1" s="1"/>
  <c r="E25" i="1" s="1"/>
  <c r="E28" i="1" s="1"/>
  <c r="I37" i="4"/>
  <c r="I39" i="4"/>
  <c r="F16" i="1"/>
  <c r="F17" i="1"/>
  <c r="F19" i="1" s="1"/>
  <c r="F23" i="1" s="1"/>
  <c r="F25" i="1" s="1"/>
  <c r="F28" i="1" s="1"/>
  <c r="H17" i="1" l="1"/>
  <c r="H19" i="1" s="1"/>
  <c r="K57" i="4"/>
  <c r="H22" i="1" s="1"/>
  <c r="G15" i="1"/>
  <c r="G13" i="1"/>
  <c r="K32" i="4"/>
  <c r="K33" i="4" s="1"/>
  <c r="K74" i="3"/>
  <c r="K36" i="4" s="1"/>
  <c r="K28" i="4"/>
  <c r="J28" i="4"/>
  <c r="J32" i="4"/>
  <c r="J33" i="4" s="1"/>
  <c r="J74" i="3"/>
  <c r="J36" i="4" s="1"/>
  <c r="H23" i="1" l="1"/>
  <c r="H25" i="1" s="1"/>
  <c r="H28" i="1" s="1"/>
  <c r="J37" i="4"/>
  <c r="J39" i="4"/>
  <c r="K39" i="4"/>
  <c r="K37" i="4"/>
  <c r="G16" i="1"/>
  <c r="G17" i="1"/>
  <c r="G19" i="1" s="1"/>
  <c r="G23" i="1" s="1"/>
  <c r="G25" i="1" s="1"/>
  <c r="G28" i="1" s="1"/>
  <c r="P9" i="1" l="1"/>
  <c r="P11" i="1" s="1"/>
  <c r="P13" i="1" s="1"/>
  <c r="P17" i="1" s="1"/>
  <c r="P16" i="1"/>
  <c r="L16" i="1"/>
  <c r="L18" i="1" s="1"/>
  <c r="L19" i="1" s="1"/>
  <c r="L20" i="1" l="1"/>
  <c r="L21" i="1" s="1"/>
  <c r="L24" i="1"/>
  <c r="L27" i="1" s="1"/>
  <c r="L29" i="1" s="1"/>
  <c r="L30" i="1" s="1"/>
  <c r="P18" i="1"/>
  <c r="G6" i="2" l="1"/>
  <c r="P24" i="1"/>
  <c r="P27" i="1" s="1"/>
  <c r="P29" i="1" s="1"/>
  <c r="P20" i="1"/>
  <c r="P19" i="1"/>
  <c r="P21" i="1" l="1"/>
  <c r="P30" i="1"/>
  <c r="G7" i="2"/>
  <c r="G8" i="2" s="1"/>
  <c r="G9" i="2" s="1"/>
</calcChain>
</file>

<file path=xl/sharedStrings.xml><?xml version="1.0" encoding="utf-8"?>
<sst xmlns="http://schemas.openxmlformats.org/spreadsheetml/2006/main" count="288" uniqueCount="154">
  <si>
    <t>Energy Transfer</t>
  </si>
  <si>
    <t>Master</t>
  </si>
  <si>
    <t>Valuation Date</t>
  </si>
  <si>
    <t>DCF Valuation:</t>
  </si>
  <si>
    <t xml:space="preserve">Current Share Price </t>
  </si>
  <si>
    <t xml:space="preserve">Exit Multiple Method </t>
  </si>
  <si>
    <t xml:space="preserve">Gordon Growth Method </t>
  </si>
  <si>
    <t>Case (Adjustable)</t>
  </si>
  <si>
    <t xml:space="preserve">Blended Share Price </t>
  </si>
  <si>
    <t>Base</t>
  </si>
  <si>
    <t xml:space="preserve">Upside/Downside </t>
  </si>
  <si>
    <t xml:space="preserve">Bull </t>
  </si>
  <si>
    <t>Bear</t>
  </si>
  <si>
    <t>Discounted Cash Flow Valuation</t>
  </si>
  <si>
    <t>Active Case:</t>
  </si>
  <si>
    <t>x</t>
  </si>
  <si>
    <t>Exit Multiple Method:</t>
  </si>
  <si>
    <t>Gordon Growth Method:</t>
  </si>
  <si>
    <t>$ in millions</t>
  </si>
  <si>
    <t>Revenue</t>
  </si>
  <si>
    <t>Terminal Value:</t>
  </si>
  <si>
    <t>% Growth</t>
  </si>
  <si>
    <t>2027 EBITDA</t>
  </si>
  <si>
    <t>2027 FCF</t>
  </si>
  <si>
    <t>(-) Operating Expenses</t>
  </si>
  <si>
    <t>Exit Multiple</t>
  </si>
  <si>
    <t>PGR</t>
  </si>
  <si>
    <t>(+) Depreciation &amp; Amortization</t>
  </si>
  <si>
    <t>Terminal Value</t>
  </si>
  <si>
    <t>EBITDA</t>
  </si>
  <si>
    <t>Period</t>
  </si>
  <si>
    <t>% Margin</t>
  </si>
  <si>
    <t>PV of Terminal Value</t>
  </si>
  <si>
    <t>(-) Depreciation &amp; Amortization</t>
  </si>
  <si>
    <t xml:space="preserve">EBIT </t>
  </si>
  <si>
    <t>Value Distribution:</t>
  </si>
  <si>
    <t>PV of Period Cash Flows</t>
  </si>
  <si>
    <t>(-) Taxes</t>
  </si>
  <si>
    <t>PV of Terminal Cash Flows</t>
  </si>
  <si>
    <t>% Effective Tax Rate</t>
  </si>
  <si>
    <t xml:space="preserve">Total </t>
  </si>
  <si>
    <t>NOPAT</t>
  </si>
  <si>
    <t>Period Cash Flows</t>
  </si>
  <si>
    <t>Terminal Cash Flows</t>
  </si>
  <si>
    <t>(-) Capital Expenditures</t>
  </si>
  <si>
    <t>(-) Change in Net Working Capital</t>
  </si>
  <si>
    <t>UFCF (excl. SBC)</t>
  </si>
  <si>
    <t>Implied Share Price:</t>
  </si>
  <si>
    <t>Enterprise Value</t>
  </si>
  <si>
    <t>FCF For Discounting</t>
  </si>
  <si>
    <t>(-) Total Debt</t>
  </si>
  <si>
    <t>Discount Period</t>
  </si>
  <si>
    <t>(+) Cash</t>
  </si>
  <si>
    <t>Discount Factor</t>
  </si>
  <si>
    <t>Equity Value</t>
  </si>
  <si>
    <t>PV of UFCF</t>
  </si>
  <si>
    <t>Shares Outstanding (000's)</t>
  </si>
  <si>
    <t>Share Price</t>
  </si>
  <si>
    <t>Weighted Average Cost of Capital:</t>
  </si>
  <si>
    <t xml:space="preserve">Market Risk Premium </t>
  </si>
  <si>
    <t xml:space="preserve">Adjusted Beta </t>
  </si>
  <si>
    <t xml:space="preserve">Risk Free Rate </t>
  </si>
  <si>
    <t xml:space="preserve">Cost of Equity </t>
  </si>
  <si>
    <t xml:space="preserve">Pre-Tax Cost of Debt </t>
  </si>
  <si>
    <t>Tax Rate</t>
  </si>
  <si>
    <t>Cost of Debt</t>
  </si>
  <si>
    <t xml:space="preserve">Total Equity </t>
  </si>
  <si>
    <t xml:space="preserve">Total Debt </t>
  </si>
  <si>
    <t xml:space="preserve">Equity / Total Capitalization </t>
  </si>
  <si>
    <t xml:space="preserve">Debt / Total Capitalization </t>
  </si>
  <si>
    <t>WACC</t>
  </si>
  <si>
    <t xml:space="preserve">Operating Build </t>
  </si>
  <si>
    <t>Historical Years</t>
  </si>
  <si>
    <t>Forecasted Years</t>
  </si>
  <si>
    <t>Refined Product Revenue</t>
  </si>
  <si>
    <t>Crude Revenue</t>
  </si>
  <si>
    <t>NGL Revenue</t>
  </si>
  <si>
    <t>Gathering, Transportation, Fees</t>
  </si>
  <si>
    <t>Natural Gas Revenue</t>
  </si>
  <si>
    <t>Other Revenue</t>
  </si>
  <si>
    <t>Total Revenue</t>
  </si>
  <si>
    <t>Products COGS</t>
  </si>
  <si>
    <t xml:space="preserve">(-) Cost of Goods Sold </t>
  </si>
  <si>
    <t xml:space="preserve">Gross Profit </t>
  </si>
  <si>
    <t>Operating Expenses</t>
  </si>
  <si>
    <t>Selling, General, and Administrative</t>
  </si>
  <si>
    <t xml:space="preserve">(-) Total Operating Expenses </t>
  </si>
  <si>
    <t>Operating Income (EBIT)</t>
  </si>
  <si>
    <t xml:space="preserve">(+) Depreciation &amp; Amortization </t>
  </si>
  <si>
    <t>Note: EBITDA</t>
  </si>
  <si>
    <t>(+) Other Income (Expense)</t>
  </si>
  <si>
    <t xml:space="preserve">Net Income </t>
  </si>
  <si>
    <t xml:space="preserve">Capital Expenditures </t>
  </si>
  <si>
    <t xml:space="preserve">Accounts Receivable </t>
  </si>
  <si>
    <t>Inventory</t>
  </si>
  <si>
    <t>Income Taxes Receivable</t>
  </si>
  <si>
    <t>Derivative Assets</t>
  </si>
  <si>
    <t>Other Current Assets</t>
  </si>
  <si>
    <t>Non-Cash Current Assets</t>
  </si>
  <si>
    <t xml:space="preserve">Accounts Payable </t>
  </si>
  <si>
    <t>Derivative Liabilities</t>
  </si>
  <si>
    <t>Operating Lease Liabilities</t>
  </si>
  <si>
    <t xml:space="preserve">Other Current Liabilities </t>
  </si>
  <si>
    <t xml:space="preserve">Non-Debt Current Liabilites </t>
  </si>
  <si>
    <t xml:space="preserve">Net Working Capital </t>
  </si>
  <si>
    <t xml:space="preserve">Change in Net Working Capital </t>
  </si>
  <si>
    <t>Assumptions</t>
  </si>
  <si>
    <t>% of Revenue</t>
  </si>
  <si>
    <t xml:space="preserve">Operating Expenses </t>
  </si>
  <si>
    <t>% of Total Revenue</t>
  </si>
  <si>
    <t xml:space="preserve">Depreciation &amp; Amortization </t>
  </si>
  <si>
    <t>% of Capital Expenditures</t>
  </si>
  <si>
    <t>Other Income (Expense)</t>
  </si>
  <si>
    <t xml:space="preserve">% Growth </t>
  </si>
  <si>
    <t>Taxes</t>
  </si>
  <si>
    <t>Capital Expenditures</t>
  </si>
  <si>
    <t>Accounts Receivable</t>
  </si>
  <si>
    <t>Accounts Receivable Days</t>
  </si>
  <si>
    <t xml:space="preserve">Inventory </t>
  </si>
  <si>
    <t>Inventory Days</t>
  </si>
  <si>
    <t>Income Tax Receivable</t>
  </si>
  <si>
    <t>Accounts Payable</t>
  </si>
  <si>
    <t>Accounts Payable Days</t>
  </si>
  <si>
    <t>Operating Lease Liability</t>
  </si>
  <si>
    <t>Other Current Liabilities</t>
  </si>
  <si>
    <t>Company</t>
  </si>
  <si>
    <t>Market Cap ($mm)</t>
  </si>
  <si>
    <t>Gross Margin (LTM)</t>
  </si>
  <si>
    <t>EBITDA Margin (LTM)</t>
  </si>
  <si>
    <t>EV/EBITDA (LTM)</t>
  </si>
  <si>
    <t>EV/Revenue (LTM)</t>
  </si>
  <si>
    <t>P/E</t>
  </si>
  <si>
    <t>Cheniere Energy Partners</t>
  </si>
  <si>
    <t>10.48x</t>
  </si>
  <si>
    <t>Kinder Morgan</t>
  </si>
  <si>
    <t>Enterprise Products Partners</t>
  </si>
  <si>
    <t>Magellan Midstream Partners</t>
  </si>
  <si>
    <t>MPLX</t>
  </si>
  <si>
    <t>Targa Resources</t>
  </si>
  <si>
    <t>ONEOK</t>
  </si>
  <si>
    <t xml:space="preserve">Enbridge </t>
  </si>
  <si>
    <t>Summary Statistics</t>
  </si>
  <si>
    <t>Column1</t>
  </si>
  <si>
    <t>Column2</t>
  </si>
  <si>
    <t>Column3</t>
  </si>
  <si>
    <t>Column4</t>
  </si>
  <si>
    <t>Column5</t>
  </si>
  <si>
    <t>Column6</t>
  </si>
  <si>
    <t>Column7</t>
  </si>
  <si>
    <t>Low</t>
  </si>
  <si>
    <t>Median</t>
  </si>
  <si>
    <t>Mean</t>
  </si>
  <si>
    <t>High</t>
  </si>
  <si>
    <t>For Fiscal Year Ending December 31,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</si>
</sst>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8" formatCode="&quot;$&quot;#,##0.00_);[Red]\(&quot;$&quot;#,##0.00\)"/>
    <numFmt numFmtId="43" formatCode="_(* #,##0.00_);_(* \(#,##0.00\);_(* &quot;-&quot;??_);_(@_)"/>
    <numFmt numFmtId="164" formatCode="yyyy&quot;E&quot;"/>
    <numFmt numFmtId="165" formatCode="&quot;$&quot;#,##0.0_);\(&quot;$&quot;#,##0.0\)"/>
    <numFmt numFmtId="166" formatCode="_(#,##0.0%_);\(#,##0.0%\);_(&quot;–&quot;_)_%;_(@_)_%"/>
    <numFmt numFmtId="167" formatCode="_(* #,##0.0_);_(* \(#,##0.0\);_(* &quot;-&quot;?_);_(@_)"/>
    <numFmt numFmtId="168" formatCode="#,##0.0_);\(#,##0.0\)"/>
    <numFmt numFmtId="169" formatCode="0.0&quot;x&quot;"/>
    <numFmt numFmtId="170" formatCode="yyyy&quot;A&quot;"/>
    <numFmt numFmtId="171" formatCode="_(#,##0.00%_);\(#,##0.00%\);_(&quot;–&quot;_)_%;_(@_)_%"/>
    <numFmt numFmtId="172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i/>
      <sz val="11"/>
      <color theme="1"/>
      <name val="Garamond"/>
      <family val="1"/>
    </font>
    <font>
      <b/>
      <u val="singleAccounting"/>
      <sz val="11"/>
      <color theme="1"/>
      <name val="Garamond"/>
      <family val="1"/>
    </font>
    <font>
      <sz val="11"/>
      <color rgb="FF0000FF"/>
      <name val="Garamond"/>
      <family val="1"/>
    </font>
    <font>
      <b/>
      <sz val="11"/>
      <color rgb="FF0000FF"/>
      <name val="Garamond"/>
      <family val="1"/>
    </font>
    <font>
      <i/>
      <sz val="11"/>
      <name val="Garamond"/>
      <family val="1"/>
    </font>
    <font>
      <i/>
      <sz val="11"/>
      <color rgb="FF0000FF"/>
      <name val="Garamond"/>
      <family val="1"/>
    </font>
    <font>
      <sz val="11"/>
      <name val="Garamond"/>
      <family val="1"/>
    </font>
    <font>
      <b/>
      <sz val="11"/>
      <color rgb="FF00B050"/>
      <name val="Garamond"/>
      <family val="1"/>
    </font>
    <font>
      <sz val="11"/>
      <color rgb="FF00B050"/>
      <name val="Garamond"/>
      <family val="1"/>
    </font>
    <font>
      <b/>
      <sz val="11"/>
      <color rgb="FF000000"/>
      <name val="Garamond"/>
    </font>
    <font>
      <sz val="11"/>
      <color rgb="FF70AD47"/>
      <name val="Garamond"/>
    </font>
    <font>
      <b/>
      <sz val="11"/>
      <color theme="1"/>
      <name val="Garamond"/>
    </font>
    <font>
      <sz val="11"/>
      <color rgb="FF000000"/>
      <name val="Garamond"/>
    </font>
    <font>
      <sz val="11"/>
      <color theme="1"/>
      <name val="Garamond"/>
    </font>
  </fonts>
  <fills count="8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164" fontId="2" fillId="0" borderId="1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/>
    <xf numFmtId="166" fontId="3" fillId="0" borderId="0" xfId="0" applyNumberFormat="1" applyFont="1"/>
    <xf numFmtId="167" fontId="1" fillId="0" borderId="0" xfId="0" applyNumberFormat="1" applyFont="1"/>
    <xf numFmtId="167" fontId="2" fillId="2" borderId="0" xfId="0" applyNumberFormat="1" applyFont="1" applyFill="1"/>
    <xf numFmtId="39" fontId="1" fillId="0" borderId="0" xfId="0" applyNumberFormat="1" applyFont="1"/>
    <xf numFmtId="0" fontId="2" fillId="0" borderId="1" xfId="0" applyFont="1" applyBorder="1"/>
    <xf numFmtId="0" fontId="1" fillId="0" borderId="1" xfId="0" applyFont="1" applyBorder="1"/>
    <xf numFmtId="0" fontId="1" fillId="0" borderId="5" xfId="0" applyFont="1" applyBorder="1"/>
    <xf numFmtId="168" fontId="1" fillId="0" borderId="6" xfId="0" applyNumberFormat="1" applyFont="1" applyBorder="1"/>
    <xf numFmtId="166" fontId="1" fillId="0" borderId="8" xfId="0" applyNumberFormat="1" applyFont="1" applyBorder="1"/>
    <xf numFmtId="0" fontId="1" fillId="0" borderId="2" xfId="0" applyFont="1" applyBorder="1"/>
    <xf numFmtId="0" fontId="1" fillId="0" borderId="3" xfId="0" applyFont="1" applyBorder="1"/>
    <xf numFmtId="165" fontId="2" fillId="0" borderId="4" xfId="0" applyNumberFormat="1" applyFont="1" applyBorder="1"/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165" fontId="2" fillId="0" borderId="8" xfId="0" applyNumberFormat="1" applyFont="1" applyBorder="1"/>
    <xf numFmtId="165" fontId="1" fillId="0" borderId="6" xfId="0" applyNumberFormat="1" applyFont="1" applyBorder="1"/>
    <xf numFmtId="166" fontId="1" fillId="0" borderId="6" xfId="0" applyNumberFormat="1" applyFont="1" applyBorder="1"/>
    <xf numFmtId="9" fontId="2" fillId="0" borderId="7" xfId="0" applyNumberFormat="1" applyFont="1" applyBorder="1" applyAlignment="1">
      <alignment horizontal="left"/>
    </xf>
    <xf numFmtId="166" fontId="2" fillId="0" borderId="11" xfId="0" applyNumberFormat="1" applyFont="1" applyBorder="1"/>
    <xf numFmtId="0" fontId="2" fillId="0" borderId="5" xfId="0" applyFont="1" applyBorder="1"/>
    <xf numFmtId="0" fontId="1" fillId="0" borderId="5" xfId="0" applyFont="1" applyBorder="1" applyAlignment="1">
      <alignment horizontal="left"/>
    </xf>
    <xf numFmtId="167" fontId="1" fillId="0" borderId="6" xfId="0" applyNumberFormat="1" applyFont="1" applyBorder="1"/>
    <xf numFmtId="7" fontId="2" fillId="0" borderId="4" xfId="0" applyNumberFormat="1" applyFont="1" applyBorder="1"/>
    <xf numFmtId="0" fontId="1" fillId="0" borderId="7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center"/>
    </xf>
    <xf numFmtId="170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7" fontId="1" fillId="0" borderId="0" xfId="0" applyNumberFormat="1" applyFont="1"/>
    <xf numFmtId="0" fontId="1" fillId="4" borderId="0" xfId="0" applyFont="1" applyFill="1"/>
    <xf numFmtId="0" fontId="6" fillId="5" borderId="0" xfId="0" applyFont="1" applyFill="1" applyAlignment="1">
      <alignment horizontal="center"/>
    </xf>
    <xf numFmtId="0" fontId="2" fillId="3" borderId="0" xfId="0" applyFont="1" applyFill="1"/>
    <xf numFmtId="0" fontId="2" fillId="0" borderId="14" xfId="0" applyFont="1" applyBorder="1"/>
    <xf numFmtId="0" fontId="1" fillId="0" borderId="14" xfId="0" applyFont="1" applyBorder="1"/>
    <xf numFmtId="0" fontId="5" fillId="4" borderId="0" xfId="0" applyFont="1" applyFill="1"/>
    <xf numFmtId="165" fontId="2" fillId="0" borderId="0" xfId="0" applyNumberFormat="1" applyFont="1"/>
    <xf numFmtId="166" fontId="7" fillId="4" borderId="0" xfId="0" applyNumberFormat="1" applyFont="1" applyFill="1"/>
    <xf numFmtId="166" fontId="8" fillId="5" borderId="12" xfId="0" applyNumberFormat="1" applyFont="1" applyFill="1" applyBorder="1"/>
    <xf numFmtId="168" fontId="5" fillId="0" borderId="0" xfId="0" applyNumberFormat="1" applyFont="1"/>
    <xf numFmtId="168" fontId="9" fillId="0" borderId="0" xfId="0" applyNumberFormat="1" applyFont="1"/>
    <xf numFmtId="0" fontId="3" fillId="0" borderId="0" xfId="0" applyFont="1" applyAlignment="1">
      <alignment horizontal="left" indent="2"/>
    </xf>
    <xf numFmtId="166" fontId="7" fillId="0" borderId="0" xfId="0" applyNumberFormat="1" applyFont="1"/>
    <xf numFmtId="165" fontId="10" fillId="0" borderId="0" xfId="0" applyNumberFormat="1" applyFont="1"/>
    <xf numFmtId="168" fontId="11" fillId="0" borderId="0" xfId="0" applyNumberFormat="1" applyFont="1"/>
    <xf numFmtId="168" fontId="7" fillId="4" borderId="0" xfId="0" applyNumberFormat="1" applyFont="1" applyFill="1"/>
    <xf numFmtId="168" fontId="8" fillId="5" borderId="12" xfId="0" applyNumberFormat="1" applyFont="1" applyFill="1" applyBorder="1"/>
    <xf numFmtId="14" fontId="5" fillId="5" borderId="0" xfId="0" applyNumberFormat="1" applyFont="1" applyFill="1" applyAlignment="1">
      <alignment horizontal="center"/>
    </xf>
    <xf numFmtId="8" fontId="5" fillId="5" borderId="0" xfId="0" applyNumberFormat="1" applyFont="1" applyFill="1" applyAlignment="1">
      <alignment horizontal="center"/>
    </xf>
    <xf numFmtId="2" fontId="5" fillId="0" borderId="0" xfId="0" applyNumberFormat="1" applyFont="1"/>
    <xf numFmtId="168" fontId="5" fillId="0" borderId="6" xfId="0" applyNumberFormat="1" applyFont="1" applyBorder="1"/>
    <xf numFmtId="166" fontId="1" fillId="0" borderId="0" xfId="0" applyNumberFormat="1" applyFont="1"/>
    <xf numFmtId="165" fontId="1" fillId="0" borderId="0" xfId="0" applyNumberFormat="1" applyFont="1"/>
    <xf numFmtId="165" fontId="5" fillId="0" borderId="0" xfId="0" applyNumberFormat="1" applyFont="1"/>
    <xf numFmtId="2" fontId="1" fillId="0" borderId="0" xfId="0" applyNumberFormat="1" applyFont="1"/>
    <xf numFmtId="165" fontId="1" fillId="0" borderId="4" xfId="0" applyNumberFormat="1" applyFont="1" applyBorder="1"/>
    <xf numFmtId="169" fontId="5" fillId="0" borderId="6" xfId="0" applyNumberFormat="1" applyFont="1" applyBorder="1"/>
    <xf numFmtId="10" fontId="5" fillId="0" borderId="6" xfId="0" applyNumberFormat="1" applyFont="1" applyBorder="1"/>
    <xf numFmtId="167" fontId="5" fillId="0" borderId="6" xfId="0" applyNumberFormat="1" applyFont="1" applyBorder="1"/>
    <xf numFmtId="7" fontId="2" fillId="0" borderId="13" xfId="0" applyNumberFormat="1" applyFont="1" applyBorder="1"/>
    <xf numFmtId="166" fontId="2" fillId="3" borderId="0" xfId="0" applyNumberFormat="1" applyFont="1" applyFill="1"/>
    <xf numFmtId="166" fontId="5" fillId="0" borderId="0" xfId="0" applyNumberFormat="1" applyFont="1"/>
    <xf numFmtId="0" fontId="2" fillId="6" borderId="0" xfId="0" applyFont="1" applyFill="1"/>
    <xf numFmtId="0" fontId="12" fillId="0" borderId="0" xfId="0" applyFont="1"/>
    <xf numFmtId="10" fontId="8" fillId="7" borderId="12" xfId="0" applyNumberFormat="1" applyFont="1" applyFill="1" applyBorder="1"/>
    <xf numFmtId="10" fontId="8" fillId="7" borderId="15" xfId="0" applyNumberFormat="1" applyFont="1" applyFill="1" applyBorder="1"/>
    <xf numFmtId="10" fontId="8" fillId="7" borderId="16" xfId="0" applyNumberFormat="1" applyFont="1" applyFill="1" applyBorder="1"/>
    <xf numFmtId="0" fontId="1" fillId="6" borderId="5" xfId="0" applyFont="1" applyFill="1" applyBorder="1" applyAlignment="1">
      <alignment horizontal="left"/>
    </xf>
    <xf numFmtId="0" fontId="1" fillId="6" borderId="0" xfId="0" applyFont="1" applyFill="1"/>
    <xf numFmtId="172" fontId="7" fillId="4" borderId="0" xfId="0" applyNumberFormat="1" applyFont="1" applyFill="1"/>
    <xf numFmtId="10" fontId="8" fillId="5" borderId="12" xfId="0" applyNumberFormat="1" applyFont="1" applyFill="1" applyBorder="1"/>
    <xf numFmtId="171" fontId="7" fillId="4" borderId="0" xfId="0" applyNumberFormat="1" applyFont="1" applyFill="1"/>
    <xf numFmtId="171" fontId="8" fillId="5" borderId="12" xfId="0" applyNumberFormat="1" applyFont="1" applyFill="1" applyBorder="1"/>
    <xf numFmtId="168" fontId="13" fillId="0" borderId="0" xfId="0" applyNumberFormat="1" applyFont="1"/>
    <xf numFmtId="166" fontId="5" fillId="6" borderId="0" xfId="0" applyNumberFormat="1" applyFont="1" applyFill="1"/>
    <xf numFmtId="0" fontId="14" fillId="0" borderId="0" xfId="0" applyFont="1"/>
    <xf numFmtId="0" fontId="15" fillId="0" borderId="0" xfId="0" applyFont="1"/>
    <xf numFmtId="43" fontId="16" fillId="0" borderId="0" xfId="0" applyNumberFormat="1" applyFont="1" applyAlignment="1">
      <alignment vertical="top"/>
    </xf>
    <xf numFmtId="172" fontId="16" fillId="0" borderId="0" xfId="0" applyNumberFormat="1" applyFont="1" applyAlignment="1">
      <alignment horizontal="right" vertical="center"/>
    </xf>
    <xf numFmtId="10" fontId="16" fillId="0" borderId="0" xfId="0" applyNumberFormat="1" applyFont="1" applyAlignment="1">
      <alignment horizontal="right" vertical="center"/>
    </xf>
    <xf numFmtId="169" fontId="16" fillId="0" borderId="0" xfId="0" applyNumberFormat="1" applyFont="1" applyAlignment="1">
      <alignment horizontal="right" vertical="center"/>
    </xf>
    <xf numFmtId="0" fontId="16" fillId="0" borderId="0" xfId="0" applyFont="1"/>
    <xf numFmtId="43" fontId="16" fillId="0" borderId="0" xfId="0" applyNumberFormat="1" applyFont="1"/>
    <xf numFmtId="172" fontId="16" fillId="0" borderId="0" xfId="0" applyNumberFormat="1" applyFont="1"/>
    <xf numFmtId="10" fontId="16" fillId="0" borderId="0" xfId="0" applyNumberFormat="1" applyFont="1"/>
    <xf numFmtId="169" fontId="16" fillId="0" borderId="0" xfId="0" applyNumberFormat="1" applyFont="1"/>
    <xf numFmtId="0" fontId="2" fillId="0" borderId="14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2" fontId="4" fillId="4" borderId="0" xfId="0" applyNumberFormat="1" applyFont="1" applyFill="1" applyAlignment="1">
      <alignment horizontal="center"/>
    </xf>
    <xf numFmtId="0" fontId="4" fillId="4" borderId="0" xfId="0" applyFont="1" applyFill="1" applyAlignment="1">
      <alignment horizontal="center"/>
    </xf>
  </cellXfs>
  <cellStyles count="1">
    <cellStyle name="Normal" xfId="0" builtinId="0"/>
  </cellStyles>
  <dxfs count="18">
    <dxf>
      <font>
        <name val="Garamond"/>
      </font>
      <numFmt numFmtId="169" formatCode="0.0&quot;x&quot;"/>
    </dxf>
    <dxf>
      <font>
        <name val="Garamond"/>
      </font>
      <numFmt numFmtId="169" formatCode="0.0&quot;x&quot;"/>
    </dxf>
    <dxf>
      <font>
        <name val="Garamond"/>
      </font>
      <numFmt numFmtId="169" formatCode="0.0&quot;x&quot;"/>
    </dxf>
    <dxf>
      <font>
        <name val="Garamond"/>
      </font>
      <numFmt numFmtId="14" formatCode="0.00%"/>
    </dxf>
    <dxf>
      <font>
        <name val="Garamond"/>
      </font>
      <numFmt numFmtId="172" formatCode="0.0%"/>
    </dxf>
    <dxf>
      <font>
        <name val="Garamond"/>
      </font>
      <numFmt numFmtId="35" formatCode="_(* #,##0.00_);_(* \(#,##0.00\);_(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scheme val="minor"/>
      </font>
    </dxf>
    <dxf>
      <font>
        <name val="Garamond"/>
      </font>
    </dxf>
    <dxf>
      <font>
        <name val="Garamond"/>
      </font>
      <numFmt numFmtId="169" formatCode="0.0&quot;x&quot;"/>
    </dxf>
    <dxf>
      <font>
        <name val="Garamond"/>
      </font>
      <numFmt numFmtId="169" formatCode="0.0&quot;x&quot;"/>
      <alignment horizontal="right" vertical="center"/>
    </dxf>
    <dxf>
      <font>
        <name val="Garamond"/>
      </font>
      <numFmt numFmtId="169" formatCode="0.0&quot;x&quot;"/>
      <alignment horizontal="right" vertical="center"/>
    </dxf>
    <dxf>
      <font>
        <name val="Garamond"/>
      </font>
      <numFmt numFmtId="169" formatCode="0.0&quot;x&quot;"/>
      <alignment horizontal="right" vertical="center"/>
    </dxf>
    <dxf>
      <font>
        <name val="Garamond"/>
      </font>
      <numFmt numFmtId="14" formatCode="0.00%"/>
      <alignment horizontal="right" vertical="center"/>
    </dxf>
    <dxf>
      <font>
        <name val="Garamond"/>
      </font>
      <numFmt numFmtId="172" formatCode="0.0%"/>
      <alignment horizontal="right" vertical="center"/>
    </dxf>
    <dxf>
      <font>
        <name val="Garamond"/>
      </font>
      <numFmt numFmtId="35" formatCode="_(* #,##0.00_);_(* \(#,##0.00\);_(* &quot;-&quot;??_);_(@_)"/>
      <alignment horizontal="general" vertical="top"/>
    </dxf>
    <dxf>
      <font>
        <name val="Garamond"/>
      </font>
    </dxf>
    <dxf>
      <font>
        <name val="Garamond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scheme val="minor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700F0A3-BA38-4FA9-B675-7E960FE1D280}" name="Table1" displayName="Table1" ref="C3:I12" totalsRowShown="0" headerRowDxfId="17" dataDxfId="16">
  <autoFilter ref="C3:I12" xr:uid="{9700F0A3-BA38-4FA9-B675-7E960FE1D280}"/>
  <tableColumns count="7">
    <tableColumn id="1" xr3:uid="{184B420F-D62A-4CF3-B118-CB9FB94C8F86}" name="Company" dataDxfId="15"/>
    <tableColumn id="2" xr3:uid="{FCCE302B-5791-4B49-913A-BD40E0F6F201}" name="Market Cap ($mm)" dataDxfId="14"/>
    <tableColumn id="3" xr3:uid="{AEB5B783-39D7-4A30-BA7A-339A63C5408F}" name="Gross Margin (LTM)" dataDxfId="13"/>
    <tableColumn id="4" xr3:uid="{A538FDAD-B7C7-48B7-9ECB-E4503872DBC0}" name="EBITDA Margin (LTM)" dataDxfId="12"/>
    <tableColumn id="5" xr3:uid="{264D5F25-1889-46ED-957B-ED4E086CDB0C}" name="EV/EBITDA (LTM)" dataDxfId="11"/>
    <tableColumn id="6" xr3:uid="{99CF13B1-6A54-4EBC-B6BF-BBF8075A8C1E}" name="EV/Revenue (LTM)" dataDxfId="10"/>
    <tableColumn id="7" xr3:uid="{FE095B70-F048-4864-AF33-FAF8C3F72E68}" name="P/E" dataDxfId="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E8122C6-4642-4C43-8C45-5A8F4C42130C}" name="Table2" displayName="Table2" ref="C15:I19" totalsRowShown="0" headerRowDxfId="8" dataDxfId="7">
  <autoFilter ref="C15:I19" xr:uid="{DE8122C6-4642-4C43-8C45-5A8F4C42130C}"/>
  <tableColumns count="7">
    <tableColumn id="1" xr3:uid="{348B6D99-27CD-4527-9910-354EBE72D36D}" name="Column1" dataDxfId="6"/>
    <tableColumn id="2" xr3:uid="{E089CF4A-B61A-4DC7-AAD0-122A3BA7CDF7}" name="Column2" dataDxfId="5"/>
    <tableColumn id="3" xr3:uid="{2A622774-C0E4-4221-A4E1-E7DA12F55C8E}" name="Column3" dataDxfId="4"/>
    <tableColumn id="4" xr3:uid="{768C1B53-5B49-4FED-BA59-F57343317900}" name="Column4" dataDxfId="3"/>
    <tableColumn id="5" xr3:uid="{04C6DAC9-F434-4D6F-B660-CE2F2B97F7C9}" name="Column5" dataDxfId="2"/>
    <tableColumn id="6" xr3:uid="{6C7A5E36-C22D-405C-B3CB-52D4A005566E}" name="Column6" dataDxfId="1"/>
    <tableColumn id="7" xr3:uid="{FD6773BC-BEA4-42D4-B239-2CF3B0F4DECF}" name="Column7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F6124-E89E-4263-9A6F-950E8D0AB7D5}">
  <sheetPr>
    <tabColor theme="1"/>
  </sheetPr>
  <dimension ref="B1:K11"/>
  <sheetViews>
    <sheetView showGridLines="0" tabSelected="1" workbookViewId="0">
      <selection activeCell="F15" sqref="F15"/>
    </sheetView>
  </sheetViews>
  <sheetFormatPr defaultColWidth="10.7265625" defaultRowHeight="14.5" x14ac:dyDescent="0.35"/>
  <cols>
    <col min="1" max="1" width="2.7265625" style="1" customWidth="1"/>
    <col min="2" max="2" width="20.7265625" style="1" customWidth="1"/>
    <col min="3" max="3" width="11.26953125" style="1" bestFit="1" customWidth="1"/>
    <col min="4" max="4" width="10.7265625" style="1"/>
    <col min="5" max="5" width="4.7265625" style="1" customWidth="1"/>
    <col min="6" max="6" width="25.7265625" style="1" customWidth="1"/>
    <col min="7" max="7" width="13.453125" style="1" bestFit="1" customWidth="1"/>
    <col min="8" max="16384" width="10.7265625" style="1"/>
  </cols>
  <sheetData>
    <row r="1" spans="2:11" ht="15" customHeight="1" x14ac:dyDescent="0.35"/>
    <row r="2" spans="2:11" x14ac:dyDescent="0.35">
      <c r="B2" s="2" t="s">
        <v>0</v>
      </c>
    </row>
    <row r="3" spans="2:11" x14ac:dyDescent="0.35">
      <c r="B3" s="3" t="s">
        <v>1</v>
      </c>
    </row>
    <row r="4" spans="2:11" x14ac:dyDescent="0.35">
      <c r="K4" s="36"/>
    </row>
    <row r="5" spans="2:11" x14ac:dyDescent="0.35">
      <c r="B5" s="1" t="s">
        <v>2</v>
      </c>
      <c r="C5" s="55">
        <f ca="1">TODAY()</f>
        <v>44949</v>
      </c>
      <c r="D5" s="43"/>
      <c r="F5" s="2" t="s">
        <v>3</v>
      </c>
    </row>
    <row r="6" spans="2:11" x14ac:dyDescent="0.35">
      <c r="B6" s="38" t="s">
        <v>4</v>
      </c>
      <c r="C6" s="56">
        <v>13.01</v>
      </c>
      <c r="D6" s="43"/>
      <c r="F6" s="33" t="s">
        <v>5</v>
      </c>
      <c r="G6" s="37">
        <f ca="1">+DCF!L29</f>
        <v>15.313948690092412</v>
      </c>
    </row>
    <row r="7" spans="2:11" x14ac:dyDescent="0.35">
      <c r="B7" s="38"/>
      <c r="C7" s="43"/>
      <c r="D7" s="43"/>
      <c r="F7" s="33" t="s">
        <v>6</v>
      </c>
      <c r="G7" s="37">
        <f ca="1">+DCF!P29</f>
        <v>14.362655608100425</v>
      </c>
    </row>
    <row r="8" spans="2:11" x14ac:dyDescent="0.35">
      <c r="B8" s="1" t="s">
        <v>7</v>
      </c>
      <c r="C8" s="39">
        <v>1</v>
      </c>
      <c r="D8" s="34"/>
      <c r="F8" s="4" t="s">
        <v>8</v>
      </c>
      <c r="G8" s="67">
        <f ca="1">+(G6+G7)/2</f>
        <v>14.838302149096418</v>
      </c>
    </row>
    <row r="9" spans="2:11" x14ac:dyDescent="0.35">
      <c r="C9" s="1">
        <v>1</v>
      </c>
      <c r="D9" s="1" t="s">
        <v>9</v>
      </c>
      <c r="F9" s="33" t="s">
        <v>10</v>
      </c>
      <c r="G9" s="8">
        <f ca="1">+G8/C6-1</f>
        <v>0.14053052644861008</v>
      </c>
    </row>
    <row r="10" spans="2:11" x14ac:dyDescent="0.35">
      <c r="C10" s="1">
        <v>2</v>
      </c>
      <c r="D10" s="1" t="s">
        <v>11</v>
      </c>
    </row>
    <row r="11" spans="2:11" x14ac:dyDescent="0.35">
      <c r="C11" s="1">
        <v>3</v>
      </c>
      <c r="D11" s="1" t="s">
        <v>12</v>
      </c>
      <c r="F11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722E8-28E7-4890-9B71-47B4DAA07D52}">
  <sheetPr>
    <tabColor theme="1"/>
  </sheetPr>
  <dimension ref="A2:P65"/>
  <sheetViews>
    <sheetView showGridLines="0" topLeftCell="I1" zoomScaleNormal="100" workbookViewId="0">
      <selection activeCell="J19" sqref="J19"/>
    </sheetView>
  </sheetViews>
  <sheetFormatPr defaultColWidth="10.7265625" defaultRowHeight="14.5" x14ac:dyDescent="0.35"/>
  <cols>
    <col min="1" max="1" width="2.7265625" style="1" customWidth="1"/>
    <col min="2" max="2" width="30.7265625" style="1" customWidth="1"/>
    <col min="3" max="8" width="10.7265625" style="1" customWidth="1"/>
    <col min="9" max="9" width="4.7265625" style="1" customWidth="1"/>
    <col min="10" max="12" width="12.7265625" style="1" customWidth="1"/>
    <col min="13" max="13" width="4.7265625" style="1" customWidth="1"/>
    <col min="14" max="16" width="12.7265625" style="1" customWidth="1"/>
    <col min="17" max="16384" width="10.7265625" style="1"/>
  </cols>
  <sheetData>
    <row r="2" spans="1:16" x14ac:dyDescent="0.35">
      <c r="B2" s="2" t="s">
        <v>0</v>
      </c>
    </row>
    <row r="3" spans="1:16" x14ac:dyDescent="0.35">
      <c r="B3" s="3" t="s">
        <v>13</v>
      </c>
    </row>
    <row r="4" spans="1:16" x14ac:dyDescent="0.35">
      <c r="B4" s="4" t="s">
        <v>14</v>
      </c>
      <c r="C4" s="34">
        <f>+Master!$D$8</f>
        <v>0</v>
      </c>
      <c r="D4" s="34">
        <f>+Master!$C$8</f>
        <v>1</v>
      </c>
    </row>
    <row r="6" spans="1:16" x14ac:dyDescent="0.35">
      <c r="A6" s="1" t="s">
        <v>15</v>
      </c>
      <c r="B6" s="3"/>
      <c r="C6" s="94" t="s">
        <v>153</v>
      </c>
      <c r="D6" s="94"/>
      <c r="E6" s="94"/>
      <c r="F6" s="94"/>
      <c r="G6" s="94"/>
      <c r="H6" s="94"/>
      <c r="J6" s="12" t="s">
        <v>16</v>
      </c>
      <c r="K6" s="13"/>
      <c r="L6" s="13"/>
      <c r="N6" s="12" t="s">
        <v>17</v>
      </c>
      <c r="O6" s="13"/>
      <c r="P6" s="13"/>
    </row>
    <row r="7" spans="1:16" x14ac:dyDescent="0.35">
      <c r="B7" s="3" t="s">
        <v>18</v>
      </c>
      <c r="C7" s="5">
        <v>44828</v>
      </c>
      <c r="D7" s="5">
        <f>+EOMONTH(C7,12)</f>
        <v>45199</v>
      </c>
      <c r="E7" s="5">
        <f t="shared" ref="E7:H7" si="0">+EOMONTH(D7,12)</f>
        <v>45565</v>
      </c>
      <c r="F7" s="5">
        <f t="shared" si="0"/>
        <v>45930</v>
      </c>
      <c r="G7" s="5">
        <f t="shared" si="0"/>
        <v>46295</v>
      </c>
      <c r="H7" s="5">
        <f t="shared" si="0"/>
        <v>46660</v>
      </c>
    </row>
    <row r="8" spans="1:16" x14ac:dyDescent="0.35">
      <c r="B8" s="6" t="s">
        <v>19</v>
      </c>
      <c r="C8" s="7">
        <f ca="1">+'Operating Build'!F14</f>
        <v>92639.81</v>
      </c>
      <c r="D8" s="7">
        <f ca="1">+'Operating Build'!G14</f>
        <v>94633.886399999988</v>
      </c>
      <c r="E8" s="7">
        <f ca="1">+'Operating Build'!H14</f>
        <v>96672.401381999996</v>
      </c>
      <c r="F8" s="7">
        <f ca="1">+'Operating Build'!I14</f>
        <v>98756.380026359999</v>
      </c>
      <c r="G8" s="7">
        <f ca="1">+'Operating Build'!J14</f>
        <v>100886.8718686998</v>
      </c>
      <c r="H8" s="7">
        <f ca="1">+'Operating Build'!K14</f>
        <v>103064.95150234048</v>
      </c>
      <c r="J8" s="98" t="s">
        <v>20</v>
      </c>
      <c r="K8" s="99"/>
      <c r="L8" s="100"/>
      <c r="N8" s="98" t="s">
        <v>20</v>
      </c>
      <c r="O8" s="99"/>
      <c r="P8" s="100"/>
    </row>
    <row r="9" spans="1:16" x14ac:dyDescent="0.35">
      <c r="B9" s="32" t="s">
        <v>21</v>
      </c>
      <c r="C9" s="8">
        <f ca="1">+'Operating Build'!F15</f>
        <v>0.37270600263754505</v>
      </c>
      <c r="D9" s="8">
        <f ca="1">+'Operating Build'!G15</f>
        <v>2.1525048464585472E-2</v>
      </c>
      <c r="E9" s="8">
        <f ca="1">+'Operating Build'!H15</f>
        <v>2.1541067999506947E-2</v>
      </c>
      <c r="F9" s="8">
        <f ca="1">+'Operating Build'!I15</f>
        <v>2.1557120900774773E-2</v>
      </c>
      <c r="G9" s="8">
        <f ca="1">+'Operating Build'!J15</f>
        <v>2.1573207136299732E-2</v>
      </c>
      <c r="H9" s="8">
        <f ca="1">+'Operating Build'!K15</f>
        <v>2.1589326671515474E-2</v>
      </c>
      <c r="J9" s="17" t="s">
        <v>22</v>
      </c>
      <c r="K9" s="18"/>
      <c r="L9" s="63">
        <f ca="1">+H12</f>
        <v>10816.737413782312</v>
      </c>
      <c r="N9" s="17" t="s">
        <v>23</v>
      </c>
      <c r="O9" s="18"/>
      <c r="P9" s="63">
        <f ca="1">+H23</f>
        <v>5895.1524055578157</v>
      </c>
    </row>
    <row r="10" spans="1:16" x14ac:dyDescent="0.35">
      <c r="B10" s="33" t="s">
        <v>24</v>
      </c>
      <c r="C10" s="9">
        <f ca="1">(+'Operating Build'!F18+'Operating Build'!F25)</f>
        <v>-86618.222349999996</v>
      </c>
      <c r="D10" s="9">
        <f ca="1">(+'Operating Build'!G18+'Operating Build'!G25)</f>
        <v>-88482.683783999979</v>
      </c>
      <c r="E10" s="9">
        <f ca="1">(+'Operating Build'!H18+'Operating Build'!H25)</f>
        <v>-90388.695292169985</v>
      </c>
      <c r="F10" s="9">
        <f ca="1">(+'Operating Build'!I18+'Operating Build'!I25)</f>
        <v>-92337.215324646604</v>
      </c>
      <c r="G10" s="9">
        <f ca="1">(+'Operating Build'!J18+'Operating Build'!J25)</f>
        <v>-94329.225197234307</v>
      </c>
      <c r="H10" s="9">
        <f ca="1">(+'Operating Build'!K18+'Operating Build'!K25)</f>
        <v>-96365.729654688344</v>
      </c>
      <c r="J10" s="14" t="s">
        <v>25</v>
      </c>
      <c r="L10" s="64">
        <v>9.1999999999999993</v>
      </c>
      <c r="N10" s="14" t="s">
        <v>26</v>
      </c>
      <c r="P10" s="65">
        <v>1.4999999999999999E-2</v>
      </c>
    </row>
    <row r="11" spans="1:16" x14ac:dyDescent="0.35">
      <c r="B11" s="33" t="s">
        <v>27</v>
      </c>
      <c r="C11" s="9">
        <f ca="1">+'Operating Build'!F30</f>
        <v>2676.1026000000002</v>
      </c>
      <c r="D11" s="9">
        <f ca="1">+'Operating Build'!G30</f>
        <v>2916.951834</v>
      </c>
      <c r="E11" s="9">
        <f ca="1">+'Operating Build'!H30</f>
        <v>3179.4774990600004</v>
      </c>
      <c r="F11" s="9">
        <f ca="1">+'Operating Build'!I30</f>
        <v>3465.6304739754005</v>
      </c>
      <c r="G11" s="9">
        <f ca="1">+'Operating Build'!J30</f>
        <v>3777.5372166331872</v>
      </c>
      <c r="H11" s="9">
        <f ca="1">+'Operating Build'!K30</f>
        <v>4117.5155661301742</v>
      </c>
      <c r="J11" s="20" t="s">
        <v>28</v>
      </c>
      <c r="L11" s="19">
        <f ca="1">+L9*L10</f>
        <v>99513.984206797264</v>
      </c>
      <c r="N11" s="20" t="s">
        <v>28</v>
      </c>
      <c r="P11" s="19">
        <f ca="1">+(P9*(1+P10))/(C47-P10)</f>
        <v>95447.807645884415</v>
      </c>
    </row>
    <row r="12" spans="1:16" x14ac:dyDescent="0.35">
      <c r="B12" s="6" t="s">
        <v>29</v>
      </c>
      <c r="C12" s="10">
        <f ca="1">+C8+C10+C11</f>
        <v>8697.6902500000015</v>
      </c>
      <c r="D12" s="10">
        <f t="shared" ref="D12:G12" ca="1" si="1">+D8+D10+D11</f>
        <v>9068.1544500000091</v>
      </c>
      <c r="E12" s="10">
        <f t="shared" ca="1" si="1"/>
        <v>9463.1835888900114</v>
      </c>
      <c r="F12" s="10">
        <f t="shared" ca="1" si="1"/>
        <v>9884.795175688796</v>
      </c>
      <c r="G12" s="10">
        <f t="shared" ca="1" si="1"/>
        <v>10335.183888098683</v>
      </c>
      <c r="H12" s="10">
        <f t="shared" ref="H12" ca="1" si="2">+H8+H10+H11</f>
        <v>10816.737413782312</v>
      </c>
      <c r="J12" s="14" t="s">
        <v>30</v>
      </c>
      <c r="L12" s="15">
        <f ca="1">+H26</f>
        <v>4.343055555555555</v>
      </c>
      <c r="N12" s="14" t="s">
        <v>30</v>
      </c>
      <c r="P12" s="15">
        <f ca="1">+H26</f>
        <v>4.343055555555555</v>
      </c>
    </row>
    <row r="13" spans="1:16" x14ac:dyDescent="0.35">
      <c r="B13" s="32" t="s">
        <v>31</v>
      </c>
      <c r="C13" s="8">
        <f ca="1">+C12/C8</f>
        <v>9.3887177121801113E-2</v>
      </c>
      <c r="D13" s="8">
        <f t="shared" ref="D13:G13" ca="1" si="3">+D12/D8</f>
        <v>9.5823544767786373E-2</v>
      </c>
      <c r="E13" s="8">
        <f t="shared" ca="1" si="3"/>
        <v>9.7889195402277626E-2</v>
      </c>
      <c r="F13" s="8">
        <f t="shared" ca="1" si="3"/>
        <v>0.10009272487560147</v>
      </c>
      <c r="G13" s="8">
        <f t="shared" ca="1" si="3"/>
        <v>0.10244329808886837</v>
      </c>
      <c r="H13" s="8">
        <f t="shared" ref="H13" ca="1" si="4">+H12/H8</f>
        <v>0.10495068649536672</v>
      </c>
      <c r="J13" s="21" t="s">
        <v>32</v>
      </c>
      <c r="K13" s="13"/>
      <c r="L13" s="22">
        <f ca="1">+L11/(1+$C$47)^L12</f>
        <v>71905.531486404361</v>
      </c>
      <c r="N13" s="21" t="s">
        <v>32</v>
      </c>
      <c r="O13" s="13"/>
      <c r="P13" s="22">
        <f ca="1">+P11/(1+$C$47)^P12</f>
        <v>68967.446059913855</v>
      </c>
    </row>
    <row r="14" spans="1:16" x14ac:dyDescent="0.35">
      <c r="B14" s="33" t="s">
        <v>33</v>
      </c>
      <c r="C14" s="9">
        <f ca="1">+-C11</f>
        <v>-2676.1026000000002</v>
      </c>
      <c r="D14" s="9">
        <f t="shared" ref="D14:G14" ca="1" si="5">+-D11</f>
        <v>-2916.951834</v>
      </c>
      <c r="E14" s="9">
        <f t="shared" ca="1" si="5"/>
        <v>-3179.4774990600004</v>
      </c>
      <c r="F14" s="9">
        <f t="shared" ca="1" si="5"/>
        <v>-3465.6304739754005</v>
      </c>
      <c r="G14" s="9">
        <f t="shared" ca="1" si="5"/>
        <v>-3777.5372166331872</v>
      </c>
      <c r="H14" s="9">
        <f t="shared" ref="H14" ca="1" si="6">+-H11</f>
        <v>-4117.5155661301742</v>
      </c>
    </row>
    <row r="15" spans="1:16" x14ac:dyDescent="0.35">
      <c r="B15" s="6" t="s">
        <v>34</v>
      </c>
      <c r="C15" s="10">
        <f ca="1">+C12+C14</f>
        <v>6021.5876500000013</v>
      </c>
      <c r="D15" s="10">
        <f t="shared" ref="D15:G15" ca="1" si="7">+D12+D14</f>
        <v>6151.2026160000096</v>
      </c>
      <c r="E15" s="10">
        <f t="shared" ca="1" si="7"/>
        <v>6283.7060898300115</v>
      </c>
      <c r="F15" s="10">
        <f t="shared" ca="1" si="7"/>
        <v>6419.1647017133955</v>
      </c>
      <c r="G15" s="10">
        <f t="shared" ca="1" si="7"/>
        <v>6557.6466714654962</v>
      </c>
      <c r="H15" s="10">
        <f t="shared" ref="H15" ca="1" si="8">+H12+H14</f>
        <v>6699.2218476521375</v>
      </c>
      <c r="J15" s="95" t="s">
        <v>35</v>
      </c>
      <c r="K15" s="96"/>
      <c r="L15" s="97"/>
      <c r="N15" s="95" t="s">
        <v>35</v>
      </c>
      <c r="O15" s="96"/>
      <c r="P15" s="97"/>
    </row>
    <row r="16" spans="1:16" x14ac:dyDescent="0.35">
      <c r="B16" s="32" t="s">
        <v>31</v>
      </c>
      <c r="C16" s="8">
        <f ca="1">+C15/C8</f>
        <v>6.5000000000000016E-2</v>
      </c>
      <c r="D16" s="8">
        <f t="shared" ref="D16:G16" ca="1" si="9">+D15/D8</f>
        <v>6.5000000000000113E-2</v>
      </c>
      <c r="E16" s="8">
        <f t="shared" ca="1" si="9"/>
        <v>6.5000000000000127E-2</v>
      </c>
      <c r="F16" s="8">
        <f t="shared" ca="1" si="9"/>
        <v>6.4999999999999961E-2</v>
      </c>
      <c r="G16" s="8">
        <f t="shared" ca="1" si="9"/>
        <v>6.5000000000000085E-2</v>
      </c>
      <c r="H16" s="8">
        <f t="shared" ref="H16" ca="1" si="10">+H15/H8</f>
        <v>6.5000000000000058E-2</v>
      </c>
      <c r="J16" s="14" t="s">
        <v>36</v>
      </c>
      <c r="L16" s="23">
        <f ca="1">+SUM($D$28:$H$28)</f>
        <v>24077.868568443002</v>
      </c>
      <c r="N16" s="14" t="s">
        <v>36</v>
      </c>
      <c r="P16" s="23">
        <f ca="1">+SUM($D$28:$H$28)</f>
        <v>24077.868568443002</v>
      </c>
    </row>
    <row r="17" spans="1:16" x14ac:dyDescent="0.35">
      <c r="B17" s="33" t="s">
        <v>37</v>
      </c>
      <c r="C17" s="9">
        <f ca="1">+C15*-C18</f>
        <v>-150.53969125000003</v>
      </c>
      <c r="D17" s="9">
        <f t="shared" ref="D17:G17" ca="1" si="11">+D15*-D18</f>
        <v>-153.78006540000024</v>
      </c>
      <c r="E17" s="9">
        <f t="shared" ca="1" si="11"/>
        <v>-157.09265224575029</v>
      </c>
      <c r="F17" s="9">
        <f t="shared" ca="1" si="11"/>
        <v>-160.4791175428349</v>
      </c>
      <c r="G17" s="9">
        <f t="shared" ca="1" si="11"/>
        <v>-163.94116678663741</v>
      </c>
      <c r="H17" s="9">
        <f t="shared" ref="H17" ca="1" si="12">+H15*-H18</f>
        <v>-167.48054619130346</v>
      </c>
      <c r="J17" s="14" t="s">
        <v>38</v>
      </c>
      <c r="L17" s="23">
        <f ca="1">+L13</f>
        <v>71905.531486404361</v>
      </c>
      <c r="N17" s="14" t="s">
        <v>38</v>
      </c>
      <c r="P17" s="23">
        <f ca="1">+P13</f>
        <v>68967.446059913855</v>
      </c>
    </row>
    <row r="18" spans="1:16" x14ac:dyDescent="0.35">
      <c r="B18" s="32" t="s">
        <v>39</v>
      </c>
      <c r="C18" s="8">
        <f ca="1">+Assumptions!F75</f>
        <v>2.5000000000000001E-2</v>
      </c>
      <c r="D18" s="8">
        <f ca="1">+Assumptions!G75</f>
        <v>2.5000000000000001E-2</v>
      </c>
      <c r="E18" s="8">
        <f ca="1">+Assumptions!H75</f>
        <v>2.5000000000000001E-2</v>
      </c>
      <c r="F18" s="8">
        <f ca="1">+Assumptions!I75</f>
        <v>2.5000000000000001E-2</v>
      </c>
      <c r="G18" s="8">
        <f ca="1">+Assumptions!J75</f>
        <v>2.5000000000000001E-2</v>
      </c>
      <c r="H18" s="8">
        <f ca="1">+Assumptions!K75</f>
        <v>2.5000000000000001E-2</v>
      </c>
      <c r="J18" s="20" t="s">
        <v>40</v>
      </c>
      <c r="L18" s="19">
        <f ca="1">+L16+L17</f>
        <v>95983.400054847356</v>
      </c>
      <c r="N18" s="20" t="s">
        <v>40</v>
      </c>
      <c r="P18" s="19">
        <f ca="1">+P16+P17</f>
        <v>93045.314628356864</v>
      </c>
    </row>
    <row r="19" spans="1:16" x14ac:dyDescent="0.35">
      <c r="B19" s="6" t="s">
        <v>41</v>
      </c>
      <c r="C19" s="10">
        <f ca="1">+C15+C17</f>
        <v>5871.0479587500013</v>
      </c>
      <c r="D19" s="10">
        <f t="shared" ref="D19:G19" ca="1" si="13">+D15+D17</f>
        <v>5997.4225506000093</v>
      </c>
      <c r="E19" s="10">
        <f t="shared" ca="1" si="13"/>
        <v>6126.6134375842612</v>
      </c>
      <c r="F19" s="10">
        <f t="shared" ca="1" si="13"/>
        <v>6258.685584170561</v>
      </c>
      <c r="G19" s="10">
        <f t="shared" ca="1" si="13"/>
        <v>6393.7055046788591</v>
      </c>
      <c r="H19" s="10">
        <f t="shared" ref="H19" ca="1" si="14">+H15+H17</f>
        <v>6531.7413014608337</v>
      </c>
      <c r="J19" s="14" t="s">
        <v>42</v>
      </c>
      <c r="L19" s="24">
        <f ca="1">+L16/L18</f>
        <v>0.25085450770325174</v>
      </c>
      <c r="N19" s="14" t="s">
        <v>42</v>
      </c>
      <c r="P19" s="24">
        <f ca="1">+P16/P18</f>
        <v>0.25877572304006091</v>
      </c>
    </row>
    <row r="20" spans="1:16" x14ac:dyDescent="0.35">
      <c r="B20" s="33" t="s">
        <v>27</v>
      </c>
      <c r="C20" s="9">
        <f ca="1">+C11</f>
        <v>2676.1026000000002</v>
      </c>
      <c r="D20" s="9">
        <f t="shared" ref="D20:G20" ca="1" si="15">+D11</f>
        <v>2916.951834</v>
      </c>
      <c r="E20" s="9">
        <f t="shared" ca="1" si="15"/>
        <v>3179.4774990600004</v>
      </c>
      <c r="F20" s="9">
        <f t="shared" ca="1" si="15"/>
        <v>3465.6304739754005</v>
      </c>
      <c r="G20" s="9">
        <f t="shared" ca="1" si="15"/>
        <v>3777.5372166331872</v>
      </c>
      <c r="H20" s="9">
        <f t="shared" ref="H20" ca="1" si="16">+H11</f>
        <v>4117.5155661301742</v>
      </c>
      <c r="J20" s="14" t="s">
        <v>43</v>
      </c>
      <c r="L20" s="24">
        <f ca="1">+L17/L18</f>
        <v>0.74914549229674832</v>
      </c>
      <c r="N20" s="14" t="s">
        <v>43</v>
      </c>
      <c r="P20" s="24">
        <f ca="1">+P17/P18</f>
        <v>0.74122427695993898</v>
      </c>
    </row>
    <row r="21" spans="1:16" x14ac:dyDescent="0.35">
      <c r="B21" s="33" t="s">
        <v>44</v>
      </c>
      <c r="C21" s="9">
        <f ca="1">+'Operating Build'!F41</f>
        <v>-3075.98</v>
      </c>
      <c r="D21" s="9">
        <f ca="1">+'Operating Build'!G41</f>
        <v>-3352.8182000000002</v>
      </c>
      <c r="E21" s="9">
        <f ca="1">+'Operating Build'!H41</f>
        <v>-3654.5718380000003</v>
      </c>
      <c r="F21" s="9">
        <f ca="1">+'Operating Build'!I41</f>
        <v>-3983.4833034200005</v>
      </c>
      <c r="G21" s="9">
        <f ca="1">+'Operating Build'!J41</f>
        <v>-4341.9968007278012</v>
      </c>
      <c r="H21" s="9">
        <f ca="1">+'Operating Build'!K41</f>
        <v>-4732.7765127933035</v>
      </c>
      <c r="J21" s="25" t="s">
        <v>40</v>
      </c>
      <c r="K21" s="13"/>
      <c r="L21" s="26">
        <f ca="1">+L19+L20</f>
        <v>1</v>
      </c>
      <c r="N21" s="25" t="s">
        <v>40</v>
      </c>
      <c r="O21" s="13"/>
      <c r="P21" s="26">
        <f ca="1">+P19+P20</f>
        <v>0.99999999999999989</v>
      </c>
    </row>
    <row r="22" spans="1:16" x14ac:dyDescent="0.35">
      <c r="B22" s="33" t="s">
        <v>45</v>
      </c>
      <c r="C22" s="9">
        <f ca="1">-'Operating Build'!F57</f>
        <v>-1130.3640602739742</v>
      </c>
      <c r="D22" s="9">
        <f ca="1">-'Operating Build'!G57</f>
        <v>-19.578224748256616</v>
      </c>
      <c r="E22" s="9">
        <f ca="1">-'Operating Build'!H57</f>
        <v>-20.000875421363162</v>
      </c>
      <c r="F22" s="9">
        <f ca="1">-'Operating Build'!I57</f>
        <v>-20.433224654221704</v>
      </c>
      <c r="G22" s="9">
        <f ca="1">-'Operating Build'!J57</f>
        <v>-20.875503633400513</v>
      </c>
      <c r="H22" s="9">
        <f ca="1">-'Operating Build'!K57</f>
        <v>-21.327949239888767</v>
      </c>
    </row>
    <row r="23" spans="1:16" x14ac:dyDescent="0.35">
      <c r="B23" s="6" t="s">
        <v>46</v>
      </c>
      <c r="C23" s="10">
        <f ca="1">+SUM(C19:C22)</f>
        <v>4340.8064984760276</v>
      </c>
      <c r="D23" s="10">
        <f t="shared" ref="D23:G23" ca="1" si="17">+SUM(D19:D22)</f>
        <v>5541.9779598517525</v>
      </c>
      <c r="E23" s="10">
        <f t="shared" ca="1" si="17"/>
        <v>5631.5182232228981</v>
      </c>
      <c r="F23" s="10">
        <f t="shared" ca="1" si="17"/>
        <v>5720.3995300717397</v>
      </c>
      <c r="G23" s="10">
        <f t="shared" ca="1" si="17"/>
        <v>5808.3704169508446</v>
      </c>
      <c r="H23" s="10">
        <f t="shared" ref="H23" ca="1" si="18">+SUM(H19:H22)</f>
        <v>5895.1524055578157</v>
      </c>
      <c r="J23" s="95" t="s">
        <v>47</v>
      </c>
      <c r="K23" s="96"/>
      <c r="L23" s="97"/>
      <c r="N23" s="95" t="s">
        <v>47</v>
      </c>
      <c r="O23" s="96"/>
      <c r="P23" s="97"/>
    </row>
    <row r="24" spans="1:16" x14ac:dyDescent="0.35">
      <c r="B24" s="33"/>
      <c r="C24" s="9"/>
      <c r="D24" s="9"/>
      <c r="E24" s="9"/>
      <c r="F24" s="9"/>
      <c r="G24" s="9"/>
      <c r="H24" s="9"/>
      <c r="J24" s="27" t="s">
        <v>48</v>
      </c>
      <c r="K24" s="2"/>
      <c r="L24" s="22">
        <f ca="1">+L18</f>
        <v>95983.400054847356</v>
      </c>
      <c r="N24" s="27" t="s">
        <v>48</v>
      </c>
      <c r="O24" s="2"/>
      <c r="P24" s="22">
        <f ca="1">+P18</f>
        <v>93045.314628356864</v>
      </c>
    </row>
    <row r="25" spans="1:16" x14ac:dyDescent="0.35">
      <c r="B25" s="6" t="s">
        <v>49</v>
      </c>
      <c r="C25" s="10">
        <f ca="1">+C23+C24</f>
        <v>4340.8064984760276</v>
      </c>
      <c r="D25" s="10">
        <f ca="1">+D23+D24</f>
        <v>5541.9779598517525</v>
      </c>
      <c r="E25" s="10">
        <f t="shared" ref="E25:G25" ca="1" si="19">+E23+E24</f>
        <v>5631.5182232228981</v>
      </c>
      <c r="F25" s="10">
        <f t="shared" ca="1" si="19"/>
        <v>5720.3995300717397</v>
      </c>
      <c r="G25" s="10">
        <f t="shared" ca="1" si="19"/>
        <v>5808.3704169508446</v>
      </c>
      <c r="H25" s="10">
        <f t="shared" ref="H25" ca="1" si="20">+H23+H24</f>
        <v>5895.1524055578157</v>
      </c>
      <c r="J25" s="75" t="s">
        <v>50</v>
      </c>
      <c r="L25" s="29">
        <f>+-$C$44</f>
        <v>-49022</v>
      </c>
      <c r="N25" s="28" t="s">
        <v>50</v>
      </c>
      <c r="P25" s="29">
        <f>+-$C$44</f>
        <v>-49022</v>
      </c>
    </row>
    <row r="26" spans="1:16" x14ac:dyDescent="0.35">
      <c r="B26" s="33" t="s">
        <v>51</v>
      </c>
      <c r="C26" s="11"/>
      <c r="D26" s="11">
        <f ca="1">+YEARFRAC(Master!C5,DCF!D7)/2</f>
        <v>0.34305555555555556</v>
      </c>
      <c r="E26" s="11">
        <f t="shared" ref="E26:G26" ca="1" si="21">+D26+1</f>
        <v>1.3430555555555554</v>
      </c>
      <c r="F26" s="11">
        <f t="shared" ca="1" si="21"/>
        <v>2.3430555555555554</v>
      </c>
      <c r="G26" s="11">
        <f t="shared" ca="1" si="21"/>
        <v>3.3430555555555554</v>
      </c>
      <c r="H26" s="11">
        <f t="shared" ref="H26" ca="1" si="22">+G26+1</f>
        <v>4.343055555555555</v>
      </c>
      <c r="J26" s="28" t="s">
        <v>52</v>
      </c>
      <c r="L26" s="66">
        <v>336</v>
      </c>
      <c r="N26" s="28" t="s">
        <v>52</v>
      </c>
      <c r="P26" s="66">
        <v>336</v>
      </c>
    </row>
    <row r="27" spans="1:16" x14ac:dyDescent="0.35">
      <c r="B27" s="33" t="s">
        <v>53</v>
      </c>
      <c r="C27" s="11"/>
      <c r="D27" s="11">
        <f ca="1">1/(1+$C$47)^D26</f>
        <v>0.97465937837853145</v>
      </c>
      <c r="E27" s="11">
        <f t="shared" ref="E27:H27" ca="1" si="23">1/(1+$C$47)^E26</f>
        <v>0.90439717295280542</v>
      </c>
      <c r="F27" s="11">
        <f t="shared" ca="1" si="23"/>
        <v>0.83920009860856515</v>
      </c>
      <c r="G27" s="11">
        <f t="shared" ca="1" si="23"/>
        <v>0.7787030151866432</v>
      </c>
      <c r="H27" s="11">
        <f t="shared" ca="1" si="23"/>
        <v>0.72256710511137279</v>
      </c>
      <c r="J27" s="27" t="s">
        <v>54</v>
      </c>
      <c r="K27" s="2"/>
      <c r="L27" s="19">
        <f ca="1">+L24+L25+L26</f>
        <v>47297.400054847356</v>
      </c>
      <c r="N27" s="27" t="s">
        <v>54</v>
      </c>
      <c r="O27" s="2"/>
      <c r="P27" s="19">
        <f ca="1">+P24+P25+P26</f>
        <v>44359.314628356864</v>
      </c>
    </row>
    <row r="28" spans="1:16" x14ac:dyDescent="0.35">
      <c r="B28" s="6" t="s">
        <v>55</v>
      </c>
      <c r="C28" s="10"/>
      <c r="D28" s="10">
        <f ca="1">+D25*D27</f>
        <v>5401.5407933366314</v>
      </c>
      <c r="E28" s="10">
        <f t="shared" ref="E28:H28" ca="1" si="24">+E25*E27</f>
        <v>5093.1291605149945</v>
      </c>
      <c r="F28" s="10">
        <f t="shared" ca="1" si="24"/>
        <v>4800.5598497165938</v>
      </c>
      <c r="G28" s="10">
        <f t="shared" ca="1" si="24"/>
        <v>4522.9955570005222</v>
      </c>
      <c r="H28" s="10">
        <f t="shared" ca="1" si="24"/>
        <v>4259.6432078742564</v>
      </c>
      <c r="J28" s="28" t="s">
        <v>56</v>
      </c>
      <c r="K28" s="76"/>
      <c r="L28" s="58">
        <v>3088517.6</v>
      </c>
      <c r="N28" s="28" t="s">
        <v>56</v>
      </c>
      <c r="P28" s="58">
        <v>3088517.6</v>
      </c>
    </row>
    <row r="29" spans="1:16" x14ac:dyDescent="0.35">
      <c r="J29" s="20" t="s">
        <v>57</v>
      </c>
      <c r="K29" s="2"/>
      <c r="L29" s="30">
        <f ca="1">+(L27*1000)/L28</f>
        <v>15.313948690092412</v>
      </c>
      <c r="N29" s="20" t="s">
        <v>57</v>
      </c>
      <c r="O29" s="2"/>
      <c r="P29" s="30">
        <f ca="1">+(P27*1000)/P28</f>
        <v>14.362655608100425</v>
      </c>
    </row>
    <row r="30" spans="1:16" x14ac:dyDescent="0.35">
      <c r="D30" s="62"/>
      <c r="J30" s="31" t="s">
        <v>10</v>
      </c>
      <c r="K30" s="13"/>
      <c r="L30" s="16">
        <f ca="1">+L29/Master!$C$6-1</f>
        <v>0.17709059877727995</v>
      </c>
      <c r="N30" s="31" t="s">
        <v>10</v>
      </c>
      <c r="O30" s="13"/>
      <c r="P30" s="16">
        <f ca="1">+P29/Master!$C$6-1</f>
        <v>0.10397045411994044</v>
      </c>
    </row>
    <row r="32" spans="1:16" x14ac:dyDescent="0.35">
      <c r="A32" s="1" t="s">
        <v>15</v>
      </c>
      <c r="B32" s="41" t="s">
        <v>58</v>
      </c>
      <c r="C32" s="42"/>
    </row>
    <row r="34" spans="2:3" x14ac:dyDescent="0.35">
      <c r="B34" s="33" t="s">
        <v>59</v>
      </c>
      <c r="C34" s="69">
        <v>0.05</v>
      </c>
    </row>
    <row r="35" spans="2:3" x14ac:dyDescent="0.35">
      <c r="B35" s="33" t="s">
        <v>60</v>
      </c>
      <c r="C35" s="57">
        <v>1.76</v>
      </c>
    </row>
    <row r="36" spans="2:3" x14ac:dyDescent="0.35">
      <c r="B36" s="33" t="s">
        <v>61</v>
      </c>
      <c r="C36" s="69">
        <v>3.8100000000000002E-2</v>
      </c>
    </row>
    <row r="37" spans="2:3" x14ac:dyDescent="0.35">
      <c r="B37" s="40" t="s">
        <v>62</v>
      </c>
      <c r="C37" s="68">
        <f>+C36+(C34*C35)</f>
        <v>0.12610000000000002</v>
      </c>
    </row>
    <row r="39" spans="2:3" x14ac:dyDescent="0.35">
      <c r="B39" s="33" t="s">
        <v>63</v>
      </c>
      <c r="C39" s="82">
        <v>4.2500000000000003E-2</v>
      </c>
    </row>
    <row r="40" spans="2:3" x14ac:dyDescent="0.35">
      <c r="B40" s="33" t="s">
        <v>64</v>
      </c>
      <c r="C40" s="59">
        <f ca="1">+C18</f>
        <v>2.5000000000000001E-2</v>
      </c>
    </row>
    <row r="41" spans="2:3" x14ac:dyDescent="0.35">
      <c r="B41" s="40" t="s">
        <v>65</v>
      </c>
      <c r="C41" s="68">
        <f ca="1">+C39*(1-C40)</f>
        <v>4.1437500000000002E-2</v>
      </c>
    </row>
    <row r="43" spans="2:3" x14ac:dyDescent="0.35">
      <c r="B43" s="33" t="s">
        <v>66</v>
      </c>
      <c r="C43" s="60">
        <v>36710</v>
      </c>
    </row>
    <row r="44" spans="2:3" x14ac:dyDescent="0.35">
      <c r="B44" s="33" t="s">
        <v>67</v>
      </c>
      <c r="C44" s="61">
        <v>49022</v>
      </c>
    </row>
    <row r="45" spans="2:3" x14ac:dyDescent="0.35">
      <c r="B45" s="33" t="s">
        <v>68</v>
      </c>
      <c r="C45" s="59">
        <f>+C43/(C43+C44)</f>
        <v>0.42819483973312183</v>
      </c>
    </row>
    <row r="46" spans="2:3" x14ac:dyDescent="0.35">
      <c r="B46" s="33" t="s">
        <v>69</v>
      </c>
      <c r="C46" s="59">
        <f>+C44/(C43+C44)</f>
        <v>0.57180516026687822</v>
      </c>
    </row>
    <row r="47" spans="2:3" x14ac:dyDescent="0.35">
      <c r="B47" s="40" t="s">
        <v>70</v>
      </c>
      <c r="C47" s="68">
        <f ca="1">+(C37*C45)+(C41*C46)</f>
        <v>7.768954561890544E-2</v>
      </c>
    </row>
    <row r="49" spans="1:8" x14ac:dyDescent="0.35">
      <c r="A49"/>
      <c r="B49"/>
      <c r="C49"/>
      <c r="D49"/>
      <c r="E49"/>
      <c r="F49"/>
      <c r="G49"/>
      <c r="H49"/>
    </row>
    <row r="50" spans="1:8" x14ac:dyDescent="0.35">
      <c r="A50"/>
      <c r="B50"/>
      <c r="C50"/>
      <c r="D50"/>
      <c r="E50"/>
      <c r="F50"/>
      <c r="G50"/>
      <c r="H50"/>
    </row>
    <row r="51" spans="1:8" x14ac:dyDescent="0.35">
      <c r="A51"/>
      <c r="B51"/>
      <c r="C51"/>
      <c r="D51"/>
      <c r="E51"/>
      <c r="F51"/>
      <c r="G51"/>
      <c r="H51"/>
    </row>
    <row r="52" spans="1:8" x14ac:dyDescent="0.35">
      <c r="A52"/>
      <c r="B52"/>
      <c r="C52"/>
      <c r="D52"/>
      <c r="E52"/>
      <c r="F52"/>
      <c r="G52"/>
      <c r="H52"/>
    </row>
    <row r="53" spans="1:8" x14ac:dyDescent="0.35">
      <c r="A53"/>
      <c r="B53"/>
      <c r="C53"/>
      <c r="D53"/>
      <c r="E53"/>
      <c r="F53"/>
      <c r="G53"/>
      <c r="H53"/>
    </row>
    <row r="54" spans="1:8" x14ac:dyDescent="0.35">
      <c r="A54"/>
      <c r="B54"/>
      <c r="C54"/>
      <c r="D54"/>
      <c r="E54"/>
      <c r="F54"/>
      <c r="G54"/>
      <c r="H54"/>
    </row>
    <row r="55" spans="1:8" x14ac:dyDescent="0.35">
      <c r="A55"/>
      <c r="B55"/>
      <c r="C55"/>
      <c r="D55"/>
      <c r="E55"/>
      <c r="F55"/>
      <c r="G55"/>
      <c r="H55"/>
    </row>
    <row r="56" spans="1:8" x14ac:dyDescent="0.35">
      <c r="A56"/>
      <c r="B56"/>
      <c r="C56"/>
      <c r="D56"/>
      <c r="E56"/>
      <c r="F56"/>
      <c r="G56"/>
      <c r="H56"/>
    </row>
    <row r="57" spans="1:8" x14ac:dyDescent="0.35">
      <c r="A57"/>
      <c r="B57"/>
      <c r="C57"/>
      <c r="D57"/>
      <c r="E57"/>
      <c r="F57"/>
      <c r="G57"/>
      <c r="H57"/>
    </row>
    <row r="58" spans="1:8" x14ac:dyDescent="0.35">
      <c r="A58"/>
      <c r="B58"/>
      <c r="C58"/>
      <c r="D58"/>
      <c r="E58"/>
      <c r="F58"/>
      <c r="G58"/>
      <c r="H58"/>
    </row>
    <row r="59" spans="1:8" x14ac:dyDescent="0.35">
      <c r="A59"/>
      <c r="B59"/>
      <c r="C59"/>
      <c r="D59"/>
      <c r="E59"/>
      <c r="F59"/>
      <c r="G59"/>
      <c r="H59"/>
    </row>
    <row r="60" spans="1:8" x14ac:dyDescent="0.35">
      <c r="A60"/>
      <c r="B60"/>
      <c r="C60"/>
      <c r="D60"/>
      <c r="E60"/>
      <c r="F60"/>
      <c r="G60"/>
      <c r="H60"/>
    </row>
    <row r="61" spans="1:8" x14ac:dyDescent="0.35">
      <c r="A61"/>
      <c r="B61"/>
      <c r="C61"/>
      <c r="D61"/>
      <c r="E61"/>
      <c r="F61"/>
      <c r="G61"/>
      <c r="H61"/>
    </row>
    <row r="62" spans="1:8" x14ac:dyDescent="0.35">
      <c r="A62"/>
      <c r="B62"/>
      <c r="C62"/>
      <c r="D62"/>
      <c r="E62"/>
      <c r="F62"/>
      <c r="G62"/>
      <c r="H62"/>
    </row>
    <row r="63" spans="1:8" x14ac:dyDescent="0.35">
      <c r="A63"/>
      <c r="B63"/>
      <c r="C63"/>
      <c r="D63"/>
      <c r="E63"/>
      <c r="F63"/>
      <c r="G63"/>
      <c r="H63"/>
    </row>
    <row r="64" spans="1:8" x14ac:dyDescent="0.35">
      <c r="A64"/>
      <c r="B64"/>
      <c r="C64"/>
      <c r="D64"/>
      <c r="E64"/>
      <c r="F64"/>
      <c r="G64"/>
      <c r="H64"/>
    </row>
    <row r="65" spans="1:8" x14ac:dyDescent="0.35">
      <c r="A65"/>
      <c r="B65"/>
      <c r="C65"/>
      <c r="D65"/>
      <c r="E65"/>
      <c r="F65"/>
      <c r="G65"/>
      <c r="H65"/>
    </row>
  </sheetData>
  <mergeCells count="7">
    <mergeCell ref="C6:H6"/>
    <mergeCell ref="N23:P23"/>
    <mergeCell ref="N15:P15"/>
    <mergeCell ref="J15:L15"/>
    <mergeCell ref="N8:P8"/>
    <mergeCell ref="J8:L8"/>
    <mergeCell ref="J23:L2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8BBD6-CEBE-479C-A585-16E59A2908CF}">
  <sheetPr>
    <tabColor theme="1"/>
  </sheetPr>
  <dimension ref="A2:K73"/>
  <sheetViews>
    <sheetView showGridLines="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F21" sqref="F21"/>
    </sheetView>
  </sheetViews>
  <sheetFormatPr defaultColWidth="10.7265625" defaultRowHeight="14.5" outlineLevelCol="1" x14ac:dyDescent="0.35"/>
  <cols>
    <col min="1" max="1" width="2.7265625" style="1" customWidth="1"/>
    <col min="2" max="2" width="35.7265625" style="1" customWidth="1"/>
    <col min="3" max="5" width="10.7265625" style="1" customWidth="1" outlineLevel="1"/>
    <col min="6" max="8" width="10.7265625" style="1" customWidth="1"/>
    <col min="9" max="9" width="11.7265625" style="1" bestFit="1" customWidth="1"/>
    <col min="10" max="10" width="11.453125" style="1" bestFit="1" customWidth="1"/>
    <col min="11" max="11" width="11.7265625" style="1" bestFit="1" customWidth="1"/>
    <col min="12" max="16384" width="10.7265625" style="1"/>
  </cols>
  <sheetData>
    <row r="2" spans="1:11" x14ac:dyDescent="0.35">
      <c r="B2" s="2" t="s">
        <v>0</v>
      </c>
    </row>
    <row r="3" spans="1:11" x14ac:dyDescent="0.35">
      <c r="B3" s="3" t="s">
        <v>71</v>
      </c>
    </row>
    <row r="4" spans="1:11" x14ac:dyDescent="0.35">
      <c r="B4" s="4" t="s">
        <v>14</v>
      </c>
      <c r="C4" s="34">
        <f>+Master!$D$8</f>
        <v>0</v>
      </c>
      <c r="D4" s="34">
        <f>+Master!$C$8</f>
        <v>1</v>
      </c>
    </row>
    <row r="6" spans="1:11" ht="16" x14ac:dyDescent="0.5">
      <c r="A6" s="1" t="s">
        <v>15</v>
      </c>
      <c r="B6" s="3" t="s">
        <v>18</v>
      </c>
      <c r="C6" s="101" t="s">
        <v>72</v>
      </c>
      <c r="D6" s="101"/>
      <c r="E6" s="101"/>
      <c r="F6" s="102" t="s">
        <v>73</v>
      </c>
      <c r="G6" s="102"/>
      <c r="H6" s="102"/>
      <c r="I6" s="102"/>
      <c r="J6" s="102"/>
      <c r="K6" s="102"/>
    </row>
    <row r="7" spans="1:11" x14ac:dyDescent="0.35">
      <c r="C7" s="35">
        <v>43732</v>
      </c>
      <c r="D7" s="35">
        <f>+EOMONTH(C7,12)</f>
        <v>44104</v>
      </c>
      <c r="E7" s="35">
        <f t="shared" ref="E7" si="0">+EOMONTH(D7,12)</f>
        <v>44469</v>
      </c>
      <c r="F7" s="5">
        <v>44828</v>
      </c>
      <c r="G7" s="5">
        <f>+EOMONTH(F7,12)</f>
        <v>45199</v>
      </c>
      <c r="H7" s="5">
        <f t="shared" ref="H7:K7" si="1">+EOMONTH(G7,12)</f>
        <v>45565</v>
      </c>
      <c r="I7" s="5">
        <f t="shared" si="1"/>
        <v>45930</v>
      </c>
      <c r="J7" s="5">
        <f t="shared" si="1"/>
        <v>46295</v>
      </c>
      <c r="K7" s="5">
        <f t="shared" si="1"/>
        <v>46660</v>
      </c>
    </row>
    <row r="8" spans="1:11" x14ac:dyDescent="0.35">
      <c r="B8" s="33" t="s">
        <v>74</v>
      </c>
      <c r="C8" s="47">
        <v>16752</v>
      </c>
      <c r="D8" s="47">
        <v>10514</v>
      </c>
      <c r="E8" s="47">
        <v>17766</v>
      </c>
      <c r="F8" s="52">
        <f ca="1">+Assumptions!F8</f>
        <v>27004.32</v>
      </c>
      <c r="G8" s="52">
        <f ca="1">+Assumptions!G8</f>
        <v>27544.4064</v>
      </c>
      <c r="H8" s="52">
        <f ca="1">+Assumptions!H8</f>
        <v>28095.294527999999</v>
      </c>
      <c r="I8" s="52">
        <f ca="1">+Assumptions!I8</f>
        <v>28657.200418559998</v>
      </c>
      <c r="J8" s="52">
        <f ca="1">+Assumptions!J8</f>
        <v>29230.344426931199</v>
      </c>
      <c r="K8" s="52">
        <f ca="1">+Assumptions!K8</f>
        <v>29814.951315469822</v>
      </c>
    </row>
    <row r="9" spans="1:11" x14ac:dyDescent="0.35">
      <c r="B9" s="33" t="s">
        <v>75</v>
      </c>
      <c r="C9" s="47">
        <v>15917</v>
      </c>
      <c r="D9" s="47">
        <v>9442</v>
      </c>
      <c r="E9" s="47">
        <v>15299</v>
      </c>
      <c r="F9" s="52">
        <f ca="1">Assumptions!F14</f>
        <v>23560.46</v>
      </c>
      <c r="G9" s="52">
        <f ca="1">Assumptions!G14</f>
        <v>24031.6692</v>
      </c>
      <c r="H9" s="52">
        <f ca="1">Assumptions!H14</f>
        <v>24512.302584000001</v>
      </c>
      <c r="I9" s="52">
        <f ca="1">Assumptions!I14</f>
        <v>25002.548635680003</v>
      </c>
      <c r="J9" s="52">
        <f ca="1">Assumptions!J14</f>
        <v>25502.599608393604</v>
      </c>
      <c r="K9" s="52">
        <f ca="1">Assumptions!K14</f>
        <v>26012.651600561476</v>
      </c>
    </row>
    <row r="10" spans="1:11" x14ac:dyDescent="0.35">
      <c r="B10" s="33" t="s">
        <v>76</v>
      </c>
      <c r="C10" s="47">
        <v>8290</v>
      </c>
      <c r="D10" s="47">
        <v>6797</v>
      </c>
      <c r="E10" s="47">
        <v>15243</v>
      </c>
      <c r="F10" s="52">
        <f ca="1">Assumptions!F20</f>
        <v>20730.48</v>
      </c>
      <c r="G10" s="52">
        <f ca="1">Assumptions!G20</f>
        <v>21248.741999999998</v>
      </c>
      <c r="H10" s="52">
        <f ca="1">Assumptions!H20</f>
        <v>21779.960549999996</v>
      </c>
      <c r="I10" s="52">
        <f ca="1">Assumptions!I20</f>
        <v>22324.459563749995</v>
      </c>
      <c r="J10" s="52">
        <f ca="1">Assumptions!J20</f>
        <v>22882.571052843745</v>
      </c>
      <c r="K10" s="52">
        <f ca="1">Assumptions!K20</f>
        <v>23454.635329164837</v>
      </c>
    </row>
    <row r="11" spans="1:11" x14ac:dyDescent="0.35">
      <c r="B11" s="33" t="s">
        <v>77</v>
      </c>
      <c r="C11" s="47">
        <v>9086</v>
      </c>
      <c r="D11" s="47">
        <v>8982</v>
      </c>
      <c r="E11" s="47">
        <v>9299</v>
      </c>
      <c r="F11" s="52">
        <f ca="1">Assumptions!F26</f>
        <v>11158.8</v>
      </c>
      <c r="G11" s="52">
        <f ca="1">Assumptions!G26</f>
        <v>11326.181999999999</v>
      </c>
      <c r="H11" s="52">
        <f ca="1">Assumptions!H26</f>
        <v>11496.074729999998</v>
      </c>
      <c r="I11" s="52">
        <f ca="1">Assumptions!I26</f>
        <v>11668.515850949998</v>
      </c>
      <c r="J11" s="52">
        <f ca="1">Assumptions!J26</f>
        <v>11843.543588714247</v>
      </c>
      <c r="K11" s="52">
        <f ca="1">Assumptions!K26</f>
        <v>12021.196742544958</v>
      </c>
    </row>
    <row r="12" spans="1:11" x14ac:dyDescent="0.35">
      <c r="B12" s="33" t="s">
        <v>78</v>
      </c>
      <c r="C12" s="47">
        <v>3295</v>
      </c>
      <c r="D12" s="47">
        <v>2633</v>
      </c>
      <c r="E12" s="47">
        <v>9159</v>
      </c>
      <c r="F12" s="52">
        <f ca="1">Assumptions!F32</f>
        <v>9342.18</v>
      </c>
      <c r="G12" s="52">
        <f ca="1">Assumptions!G32</f>
        <v>9622.4454000000005</v>
      </c>
      <c r="H12" s="52">
        <f ca="1">Assumptions!H32</f>
        <v>9911.1187620000001</v>
      </c>
      <c r="I12" s="52">
        <f ca="1">Assumptions!I32</f>
        <v>10208.45232486</v>
      </c>
      <c r="J12" s="52">
        <f ca="1">Assumptions!J32</f>
        <v>10514.7058946058</v>
      </c>
      <c r="K12" s="52">
        <f ca="1">Assumptions!K32</f>
        <v>10830.147071443975</v>
      </c>
    </row>
    <row r="13" spans="1:11" x14ac:dyDescent="0.35">
      <c r="B13" s="33" t="s">
        <v>79</v>
      </c>
      <c r="C13" s="47">
        <v>873</v>
      </c>
      <c r="D13" s="47">
        <v>586</v>
      </c>
      <c r="E13" s="47">
        <v>721</v>
      </c>
      <c r="F13" s="52">
        <f ca="1">Assumptions!F38</f>
        <v>843.56999999999994</v>
      </c>
      <c r="G13" s="52">
        <f ca="1">Assumptions!G38</f>
        <v>860.44139999999993</v>
      </c>
      <c r="H13" s="52">
        <f ca="1">Assumptions!H38</f>
        <v>877.65022799999997</v>
      </c>
      <c r="I13" s="52">
        <f ca="1">Assumptions!I38</f>
        <v>895.20323255999995</v>
      </c>
      <c r="J13" s="52">
        <f ca="1">Assumptions!J38</f>
        <v>913.10729721119992</v>
      </c>
      <c r="K13" s="52">
        <f ca="1">Assumptions!K38</f>
        <v>931.36944315542394</v>
      </c>
    </row>
    <row r="14" spans="1:11" x14ac:dyDescent="0.35">
      <c r="B14" s="2" t="s">
        <v>80</v>
      </c>
      <c r="C14" s="44">
        <f>+SUM(C8:C13)</f>
        <v>54213</v>
      </c>
      <c r="D14" s="44">
        <f t="shared" ref="D14:K14" si="2">+SUM(D8:D13)</f>
        <v>38954</v>
      </c>
      <c r="E14" s="44">
        <f t="shared" si="2"/>
        <v>67487</v>
      </c>
      <c r="F14" s="44">
        <f t="shared" ca="1" si="2"/>
        <v>92639.81</v>
      </c>
      <c r="G14" s="44">
        <f t="shared" ca="1" si="2"/>
        <v>94633.886399999988</v>
      </c>
      <c r="H14" s="44">
        <f t="shared" ca="1" si="2"/>
        <v>96672.401381999996</v>
      </c>
      <c r="I14" s="44">
        <f t="shared" ca="1" si="2"/>
        <v>98756.380026359999</v>
      </c>
      <c r="J14" s="44">
        <f t="shared" ca="1" si="2"/>
        <v>100886.8718686998</v>
      </c>
      <c r="K14" s="44">
        <f t="shared" ca="1" si="2"/>
        <v>103064.95150234048</v>
      </c>
    </row>
    <row r="15" spans="1:11" x14ac:dyDescent="0.35">
      <c r="B15" s="32" t="s">
        <v>21</v>
      </c>
      <c r="C15" s="50"/>
      <c r="D15" s="50">
        <f>+D14/C14-1</f>
        <v>-0.28146385553280584</v>
      </c>
      <c r="E15" s="50">
        <f t="shared" ref="E15:K15" si="3">+E14/D14-1</f>
        <v>0.73247933459978443</v>
      </c>
      <c r="F15" s="50">
        <f t="shared" ca="1" si="3"/>
        <v>0.37270600263754505</v>
      </c>
      <c r="G15" s="50">
        <f t="shared" ca="1" si="3"/>
        <v>2.1525048464585472E-2</v>
      </c>
      <c r="H15" s="50">
        <f t="shared" ca="1" si="3"/>
        <v>2.1541067999506947E-2</v>
      </c>
      <c r="I15" s="50">
        <f t="shared" ca="1" si="3"/>
        <v>2.1557120900774773E-2</v>
      </c>
      <c r="J15" s="50">
        <f t="shared" ca="1" si="3"/>
        <v>2.1573207136299732E-2</v>
      </c>
      <c r="K15" s="50">
        <f t="shared" ca="1" si="3"/>
        <v>2.1589326671515474E-2</v>
      </c>
    </row>
    <row r="17" spans="2:11" x14ac:dyDescent="0.35">
      <c r="B17" s="33" t="s">
        <v>81</v>
      </c>
      <c r="C17" s="47">
        <v>-39801</v>
      </c>
      <c r="D17" s="47">
        <v>-25487</v>
      </c>
      <c r="E17" s="47">
        <v>-50395</v>
      </c>
      <c r="F17" s="52">
        <f ca="1">Assumptions!F44</f>
        <v>-79207.037549999994</v>
      </c>
      <c r="G17" s="52">
        <f ca="1">Assumptions!G44</f>
        <v>-80911.972871999984</v>
      </c>
      <c r="H17" s="52">
        <f ca="1">Assumptions!H44</f>
        <v>-82654.903181609989</v>
      </c>
      <c r="I17" s="52">
        <f ca="1">Assumptions!I44</f>
        <v>-84436.7049225378</v>
      </c>
      <c r="J17" s="52">
        <f ca="1">Assumptions!J44</f>
        <v>-86258.275447738328</v>
      </c>
      <c r="K17" s="52">
        <f ca="1">Assumptions!K44</f>
        <v>-88120.533534501112</v>
      </c>
    </row>
    <row r="18" spans="2:11" x14ac:dyDescent="0.35">
      <c r="B18" s="4" t="s">
        <v>82</v>
      </c>
      <c r="C18" s="44">
        <f>+C17</f>
        <v>-39801</v>
      </c>
      <c r="D18" s="44">
        <f t="shared" ref="D18:K18" si="4">+D17</f>
        <v>-25487</v>
      </c>
      <c r="E18" s="44">
        <f t="shared" si="4"/>
        <v>-50395</v>
      </c>
      <c r="F18" s="44">
        <f t="shared" ca="1" si="4"/>
        <v>-79207.037549999994</v>
      </c>
      <c r="G18" s="44">
        <f t="shared" ca="1" si="4"/>
        <v>-80911.972871999984</v>
      </c>
      <c r="H18" s="44">
        <f t="shared" ca="1" si="4"/>
        <v>-82654.903181609989</v>
      </c>
      <c r="I18" s="44">
        <f t="shared" ca="1" si="4"/>
        <v>-84436.7049225378</v>
      </c>
      <c r="J18" s="44">
        <f t="shared" ca="1" si="4"/>
        <v>-86258.275447738328</v>
      </c>
      <c r="K18" s="44">
        <f t="shared" ca="1" si="4"/>
        <v>-88120.533534501112</v>
      </c>
    </row>
    <row r="20" spans="2:11" x14ac:dyDescent="0.35">
      <c r="B20" s="2" t="s">
        <v>83</v>
      </c>
      <c r="C20" s="44">
        <f>C14+C18</f>
        <v>14412</v>
      </c>
      <c r="D20" s="44">
        <f t="shared" ref="D20:K20" si="5">D14+D18</f>
        <v>13467</v>
      </c>
      <c r="E20" s="44">
        <f t="shared" si="5"/>
        <v>17092</v>
      </c>
      <c r="F20" s="44">
        <f t="shared" ca="1" si="5"/>
        <v>13432.772450000004</v>
      </c>
      <c r="G20" s="44">
        <f t="shared" ca="1" si="5"/>
        <v>13721.913528000005</v>
      </c>
      <c r="H20" s="44">
        <f t="shared" ca="1" si="5"/>
        <v>14017.498200390008</v>
      </c>
      <c r="I20" s="44">
        <f t="shared" ca="1" si="5"/>
        <v>14319.675103822199</v>
      </c>
      <c r="J20" s="44">
        <f t="shared" ca="1" si="5"/>
        <v>14628.596420961476</v>
      </c>
      <c r="K20" s="44">
        <f t="shared" ca="1" si="5"/>
        <v>14944.41796783937</v>
      </c>
    </row>
    <row r="21" spans="2:11" x14ac:dyDescent="0.35">
      <c r="B21" s="32" t="s">
        <v>31</v>
      </c>
      <c r="C21" s="50">
        <f t="shared" ref="C21:K21" si="6">+C20/C14</f>
        <v>0.26584029660782471</v>
      </c>
      <c r="D21" s="50">
        <f t="shared" si="6"/>
        <v>0.34571545925963959</v>
      </c>
      <c r="E21" s="50">
        <f t="shared" si="6"/>
        <v>0.25326359150651234</v>
      </c>
      <c r="F21" s="50">
        <f t="shared" ca="1" si="6"/>
        <v>0.14500000000000005</v>
      </c>
      <c r="G21" s="50">
        <f t="shared" ca="1" si="6"/>
        <v>0.14500000000000007</v>
      </c>
      <c r="H21" s="50">
        <f t="shared" ca="1" si="6"/>
        <v>0.14500000000000007</v>
      </c>
      <c r="I21" s="50">
        <f t="shared" ca="1" si="6"/>
        <v>0.14499999999999999</v>
      </c>
      <c r="J21" s="50">
        <f t="shared" ca="1" si="6"/>
        <v>0.14500000000000005</v>
      </c>
      <c r="K21" s="50">
        <f t="shared" ca="1" si="6"/>
        <v>0.14499999999999999</v>
      </c>
    </row>
    <row r="22" spans="2:11" x14ac:dyDescent="0.35">
      <c r="B22" s="2"/>
      <c r="C22" s="44"/>
      <c r="D22" s="44"/>
      <c r="E22" s="44"/>
      <c r="F22" s="44"/>
      <c r="G22" s="44"/>
      <c r="H22" s="44"/>
      <c r="I22" s="44"/>
      <c r="J22" s="44"/>
      <c r="K22" s="44"/>
    </row>
    <row r="23" spans="2:11" x14ac:dyDescent="0.35">
      <c r="B23" s="33" t="s">
        <v>84</v>
      </c>
      <c r="C23" s="47">
        <v>-3294</v>
      </c>
      <c r="D23" s="47">
        <v>-3218</v>
      </c>
      <c r="E23" s="47">
        <v>-3574</v>
      </c>
      <c r="F23" s="52">
        <f ca="1">Assumptions!F50</f>
        <v>-6021.5876500000004</v>
      </c>
      <c r="G23" s="52">
        <f ca="1">Assumptions!G50</f>
        <v>-6151.2026159999996</v>
      </c>
      <c r="H23" s="52">
        <f ca="1">Assumptions!H50</f>
        <v>-6283.7060898299997</v>
      </c>
      <c r="I23" s="52">
        <f ca="1">Assumptions!I50</f>
        <v>-6419.1647017134001</v>
      </c>
      <c r="J23" s="52">
        <f ca="1">Assumptions!J50</f>
        <v>-6557.6466714654871</v>
      </c>
      <c r="K23" s="52">
        <f ca="1">Assumptions!K50</f>
        <v>-6699.2218476521311</v>
      </c>
    </row>
    <row r="24" spans="2:11" x14ac:dyDescent="0.35">
      <c r="B24" s="33" t="s">
        <v>85</v>
      </c>
      <c r="C24" s="47">
        <v>-694</v>
      </c>
      <c r="D24" s="47">
        <v>-711</v>
      </c>
      <c r="E24" s="47">
        <v>-818</v>
      </c>
      <c r="F24" s="52">
        <f ca="1">Assumptions!F56</f>
        <v>-1389.5971499999998</v>
      </c>
      <c r="G24" s="52">
        <f ca="1">Assumptions!G56</f>
        <v>-1419.5082959999997</v>
      </c>
      <c r="H24" s="52">
        <f ca="1">Assumptions!H56</f>
        <v>-1450.08602073</v>
      </c>
      <c r="I24" s="52">
        <f ca="1">Assumptions!I56</f>
        <v>-1481.3457003953999</v>
      </c>
      <c r="J24" s="52">
        <f ca="1">Assumptions!J56</f>
        <v>-1513.3030780304971</v>
      </c>
      <c r="K24" s="52">
        <f ca="1">Assumptions!K56</f>
        <v>-1545.9742725351073</v>
      </c>
    </row>
    <row r="25" spans="2:11" x14ac:dyDescent="0.35">
      <c r="B25" s="4" t="s">
        <v>86</v>
      </c>
      <c r="C25" s="44">
        <f>+C23+C24</f>
        <v>-3988</v>
      </c>
      <c r="D25" s="44">
        <f>+D23+D24</f>
        <v>-3929</v>
      </c>
      <c r="E25" s="44">
        <f t="shared" ref="E25" si="7">+E23+E24</f>
        <v>-4392</v>
      </c>
      <c r="F25" s="44">
        <f t="shared" ref="F25" ca="1" si="8">+F23+F24</f>
        <v>-7411.1848</v>
      </c>
      <c r="G25" s="44">
        <f t="shared" ref="G25" ca="1" si="9">+G23+G24</f>
        <v>-7570.7109119999996</v>
      </c>
      <c r="H25" s="44">
        <f t="shared" ref="H25" ca="1" si="10">+H23+H24</f>
        <v>-7733.7921105599999</v>
      </c>
      <c r="I25" s="44">
        <f t="shared" ref="I25" ca="1" si="11">+I23+I24</f>
        <v>-7900.5104021088</v>
      </c>
      <c r="J25" s="44">
        <f t="shared" ref="J25:K25" ca="1" si="12">+J23+J24</f>
        <v>-8070.9497494959842</v>
      </c>
      <c r="K25" s="44">
        <f t="shared" ca="1" si="12"/>
        <v>-8245.1961201872382</v>
      </c>
    </row>
    <row r="27" spans="2:11" x14ac:dyDescent="0.35">
      <c r="B27" s="2" t="s">
        <v>87</v>
      </c>
      <c r="C27" s="44">
        <f>+C20+C25</f>
        <v>10424</v>
      </c>
      <c r="D27" s="44">
        <f t="shared" ref="D27:E27" si="13">+D20+D25</f>
        <v>9538</v>
      </c>
      <c r="E27" s="44">
        <f t="shared" si="13"/>
        <v>12700</v>
      </c>
      <c r="F27" s="44">
        <f ca="1">+F20+F25</f>
        <v>6021.587650000004</v>
      </c>
      <c r="G27" s="44">
        <f t="shared" ref="G27:K27" ca="1" si="14">+G20+G25</f>
        <v>6151.202616000005</v>
      </c>
      <c r="H27" s="44">
        <f t="shared" ca="1" si="14"/>
        <v>6283.7060898300078</v>
      </c>
      <c r="I27" s="44">
        <f t="shared" ca="1" si="14"/>
        <v>6419.1647017133992</v>
      </c>
      <c r="J27" s="44">
        <f t="shared" ca="1" si="14"/>
        <v>6557.6466714654916</v>
      </c>
      <c r="K27" s="44">
        <f t="shared" ca="1" si="14"/>
        <v>6699.2218476521321</v>
      </c>
    </row>
    <row r="28" spans="2:11" x14ac:dyDescent="0.35">
      <c r="B28" s="32" t="s">
        <v>31</v>
      </c>
      <c r="C28" s="50">
        <f t="shared" ref="C28:K28" si="15">+C27/C14</f>
        <v>0.19227860476269529</v>
      </c>
      <c r="D28" s="50">
        <f t="shared" si="15"/>
        <v>0.24485290342455204</v>
      </c>
      <c r="E28" s="50">
        <f t="shared" si="15"/>
        <v>0.18818439106790938</v>
      </c>
      <c r="F28" s="50">
        <f t="shared" ca="1" si="15"/>
        <v>6.5000000000000044E-2</v>
      </c>
      <c r="G28" s="50">
        <f t="shared" ca="1" si="15"/>
        <v>6.5000000000000058E-2</v>
      </c>
      <c r="H28" s="50">
        <f t="shared" ca="1" si="15"/>
        <v>6.5000000000000085E-2</v>
      </c>
      <c r="I28" s="50">
        <f t="shared" ca="1" si="15"/>
        <v>6.4999999999999988E-2</v>
      </c>
      <c r="J28" s="50">
        <f t="shared" ca="1" si="15"/>
        <v>6.5000000000000044E-2</v>
      </c>
      <c r="K28" s="50">
        <f t="shared" ca="1" si="15"/>
        <v>6.5000000000000002E-2</v>
      </c>
    </row>
    <row r="29" spans="2:11" x14ac:dyDescent="0.35">
      <c r="B29" s="2"/>
      <c r="C29" s="44"/>
      <c r="D29" s="44"/>
      <c r="E29" s="44"/>
      <c r="F29" s="44"/>
      <c r="G29" s="44"/>
      <c r="H29" s="44"/>
      <c r="I29" s="44"/>
      <c r="J29" s="44"/>
      <c r="K29" s="44"/>
    </row>
    <row r="30" spans="2:11" x14ac:dyDescent="0.35">
      <c r="B30" s="33" t="s">
        <v>88</v>
      </c>
      <c r="C30" s="47">
        <v>3147</v>
      </c>
      <c r="D30" s="47">
        <v>3678</v>
      </c>
      <c r="E30" s="47">
        <v>3817</v>
      </c>
      <c r="F30" s="52">
        <f ca="1">+Assumptions!F62</f>
        <v>2676.1026000000002</v>
      </c>
      <c r="G30" s="52">
        <f ca="1">+Assumptions!G62</f>
        <v>2916.951834</v>
      </c>
      <c r="H30" s="52">
        <f ca="1">+Assumptions!H62</f>
        <v>3179.4774990600004</v>
      </c>
      <c r="I30" s="52">
        <f ca="1">+Assumptions!I62</f>
        <v>3465.6304739754005</v>
      </c>
      <c r="J30" s="52">
        <f ca="1">+Assumptions!J62</f>
        <v>3777.5372166331872</v>
      </c>
      <c r="K30" s="52">
        <f ca="1">+Assumptions!K62</f>
        <v>4117.5155661301742</v>
      </c>
    </row>
    <row r="31" spans="2:11" x14ac:dyDescent="0.35">
      <c r="B31" s="33"/>
    </row>
    <row r="32" spans="2:11" x14ac:dyDescent="0.35">
      <c r="B32" s="2" t="s">
        <v>89</v>
      </c>
      <c r="C32" s="44">
        <f>+C27+C30</f>
        <v>13571</v>
      </c>
      <c r="D32" s="44">
        <f t="shared" ref="D32:J32" si="16">+D27+D30</f>
        <v>13216</v>
      </c>
      <c r="E32" s="44">
        <f t="shared" si="16"/>
        <v>16517</v>
      </c>
      <c r="F32" s="44">
        <f t="shared" ca="1" si="16"/>
        <v>8697.6902500000033</v>
      </c>
      <c r="G32" s="44">
        <f t="shared" ca="1" si="16"/>
        <v>9068.1544500000055</v>
      </c>
      <c r="H32" s="44">
        <f t="shared" ca="1" si="16"/>
        <v>9463.1835888900077</v>
      </c>
      <c r="I32" s="44">
        <f t="shared" ca="1" si="16"/>
        <v>9884.7951756887996</v>
      </c>
      <c r="J32" s="44">
        <f t="shared" ca="1" si="16"/>
        <v>10335.18388809868</v>
      </c>
      <c r="K32" s="44">
        <f t="shared" ref="K32" ca="1" si="17">+K27+K30</f>
        <v>10816.737413782306</v>
      </c>
    </row>
    <row r="33" spans="2:11" x14ac:dyDescent="0.35">
      <c r="B33" s="32" t="s">
        <v>31</v>
      </c>
      <c r="C33" s="50">
        <f t="shared" ref="C33:K33" si="18">+C32/C14</f>
        <v>0.25032741224429567</v>
      </c>
      <c r="D33" s="50">
        <f t="shared" si="18"/>
        <v>0.33927196180109875</v>
      </c>
      <c r="E33" s="50">
        <f t="shared" si="18"/>
        <v>0.24474343206839835</v>
      </c>
      <c r="F33" s="50">
        <f t="shared" ca="1" si="18"/>
        <v>9.3887177121801127E-2</v>
      </c>
      <c r="G33" s="50">
        <f t="shared" ca="1" si="18"/>
        <v>9.5823544767786331E-2</v>
      </c>
      <c r="H33" s="50">
        <f t="shared" ca="1" si="18"/>
        <v>9.7889195402277585E-2</v>
      </c>
      <c r="I33" s="50">
        <f t="shared" ca="1" si="18"/>
        <v>0.10009272487560152</v>
      </c>
      <c r="J33" s="50">
        <f t="shared" ca="1" si="18"/>
        <v>0.10244329808886835</v>
      </c>
      <c r="K33" s="50">
        <f t="shared" ca="1" si="18"/>
        <v>0.10495068649536667</v>
      </c>
    </row>
    <row r="34" spans="2:11" x14ac:dyDescent="0.35">
      <c r="B34" s="2"/>
      <c r="C34" s="44"/>
      <c r="D34" s="44"/>
      <c r="E34" s="44"/>
      <c r="F34" s="44"/>
      <c r="G34" s="44"/>
      <c r="H34" s="44"/>
      <c r="I34" s="44"/>
      <c r="J34" s="44"/>
      <c r="K34" s="44"/>
    </row>
    <row r="35" spans="2:11" x14ac:dyDescent="0.35">
      <c r="B35" s="33" t="s">
        <v>90</v>
      </c>
      <c r="C35" s="47">
        <f>(-2331)+302+(-18)+(-241)+105</f>
        <v>-2183</v>
      </c>
      <c r="D35" s="47">
        <f>(-2327)+119+(-129)+(-75)+(-203)+12</f>
        <v>-2603</v>
      </c>
      <c r="E35" s="47">
        <f>(-2267)+246+(-38)+61+77</f>
        <v>-1921</v>
      </c>
      <c r="F35" s="52">
        <f ca="1">+Assumptions!F68</f>
        <v>-2113.1000000000004</v>
      </c>
      <c r="G35" s="52">
        <f ca="1">+Assumptions!G68</f>
        <v>-2324.4100000000008</v>
      </c>
      <c r="H35" s="52">
        <f ca="1">+Assumptions!H68</f>
        <v>-2556.851000000001</v>
      </c>
      <c r="I35" s="52">
        <f ca="1">+Assumptions!I68</f>
        <v>-2812.5361000000012</v>
      </c>
      <c r="J35" s="52">
        <f ca="1">+Assumptions!J68</f>
        <v>-3093.7897100000014</v>
      </c>
      <c r="K35" s="52">
        <f ca="1">+Assumptions!K68</f>
        <v>-3403.1686810000019</v>
      </c>
    </row>
    <row r="36" spans="2:11" x14ac:dyDescent="0.35">
      <c r="B36" s="33" t="s">
        <v>37</v>
      </c>
      <c r="C36" s="47">
        <v>195</v>
      </c>
      <c r="D36" s="47">
        <v>237</v>
      </c>
      <c r="E36" s="47">
        <v>184</v>
      </c>
      <c r="F36" s="52">
        <f ca="1">+Assumptions!F74</f>
        <v>97.712191250000103</v>
      </c>
      <c r="G36" s="52">
        <f ca="1">+Assumptions!G74</f>
        <v>95.669815400000118</v>
      </c>
      <c r="H36" s="52">
        <f ca="1">+Assumptions!H74</f>
        <v>93.171377245750179</v>
      </c>
      <c r="I36" s="52">
        <f ca="1">+Assumptions!I74</f>
        <v>90.165715042834961</v>
      </c>
      <c r="J36" s="52">
        <f ca="1">+Assumptions!J74</f>
        <v>86.596424036637259</v>
      </c>
      <c r="K36" s="52">
        <f ca="1">+Assumptions!K74</f>
        <v>82.401329166303256</v>
      </c>
    </row>
    <row r="37" spans="2:11" x14ac:dyDescent="0.35">
      <c r="B37" s="49" t="s">
        <v>39</v>
      </c>
      <c r="C37" s="50">
        <f>+C36/(C27+C35)</f>
        <v>2.3662176920276664E-2</v>
      </c>
      <c r="D37" s="50">
        <f t="shared" ref="D37:K37" si="19">+D36/(D27+D35)</f>
        <v>3.4174477289113193E-2</v>
      </c>
      <c r="E37" s="50">
        <f t="shared" si="19"/>
        <v>1.7070229149271733E-2</v>
      </c>
      <c r="F37" s="50">
        <f t="shared" ca="1" si="19"/>
        <v>2.5000000000000001E-2</v>
      </c>
      <c r="G37" s="50">
        <f t="shared" ca="1" si="19"/>
        <v>2.5000000000000001E-2</v>
      </c>
      <c r="H37" s="50">
        <f t="shared" ca="1" si="19"/>
        <v>2.5000000000000001E-2</v>
      </c>
      <c r="I37" s="50">
        <f t="shared" ca="1" si="19"/>
        <v>2.5000000000000005E-2</v>
      </c>
      <c r="J37" s="50">
        <f t="shared" ca="1" si="19"/>
        <v>2.5000000000000001E-2</v>
      </c>
      <c r="K37" s="50">
        <f t="shared" ca="1" si="19"/>
        <v>2.5000000000000001E-2</v>
      </c>
    </row>
    <row r="38" spans="2:11" x14ac:dyDescent="0.35">
      <c r="B38" s="33"/>
    </row>
    <row r="39" spans="2:11" x14ac:dyDescent="0.35">
      <c r="B39" s="2" t="s">
        <v>91</v>
      </c>
      <c r="C39" s="44">
        <f>+C27+C35+C36</f>
        <v>8436</v>
      </c>
      <c r="D39" s="44">
        <f t="shared" ref="D39:J39" si="20">+D27+D35+D36</f>
        <v>7172</v>
      </c>
      <c r="E39" s="44">
        <f t="shared" si="20"/>
        <v>10963</v>
      </c>
      <c r="F39" s="44">
        <f t="shared" ca="1" si="20"/>
        <v>4006.1998412500038</v>
      </c>
      <c r="G39" s="44">
        <f t="shared" ca="1" si="20"/>
        <v>3922.4624314000043</v>
      </c>
      <c r="H39" s="44">
        <f t="shared" ca="1" si="20"/>
        <v>3820.026467075757</v>
      </c>
      <c r="I39" s="44">
        <f t="shared" ca="1" si="20"/>
        <v>3696.794316756233</v>
      </c>
      <c r="J39" s="44">
        <f t="shared" ca="1" si="20"/>
        <v>3550.4533855021277</v>
      </c>
      <c r="K39" s="44">
        <f t="shared" ref="K39" ca="1" si="21">+K27+K35+K36</f>
        <v>3378.4544958184333</v>
      </c>
    </row>
    <row r="41" spans="2:11" x14ac:dyDescent="0.35">
      <c r="B41" s="70" t="s">
        <v>92</v>
      </c>
      <c r="C41" s="47">
        <v>-5960</v>
      </c>
      <c r="D41" s="47">
        <v>-5130</v>
      </c>
      <c r="E41" s="47">
        <v>-2822</v>
      </c>
      <c r="F41" s="52">
        <f ca="1">+Assumptions!F80</f>
        <v>-3075.98</v>
      </c>
      <c r="G41" s="52">
        <f ca="1">+Assumptions!G80</f>
        <v>-3352.8182000000002</v>
      </c>
      <c r="H41" s="52">
        <f ca="1">+Assumptions!H80</f>
        <v>-3654.5718380000003</v>
      </c>
      <c r="I41" s="52">
        <f ca="1">+Assumptions!I80</f>
        <v>-3983.4833034200005</v>
      </c>
      <c r="J41" s="52">
        <f ca="1">+Assumptions!J80</f>
        <v>-4341.9968007278012</v>
      </c>
      <c r="K41" s="52">
        <f ca="1">+Assumptions!K80</f>
        <v>-4732.7765127933035</v>
      </c>
    </row>
    <row r="43" spans="2:11" x14ac:dyDescent="0.35">
      <c r="B43" s="33" t="s">
        <v>93</v>
      </c>
      <c r="C43" s="47">
        <f>5038+159</f>
        <v>5197</v>
      </c>
      <c r="D43" s="47">
        <f>3875+79</f>
        <v>3954</v>
      </c>
      <c r="E43" s="47">
        <f>7654+54</f>
        <v>7708</v>
      </c>
      <c r="F43" s="52">
        <f ca="1">+Assumptions!F86</f>
        <v>9644.6925479452057</v>
      </c>
      <c r="G43" s="52">
        <f ca="1">+Assumptions!G86</f>
        <v>9852.2950224657525</v>
      </c>
      <c r="H43" s="52">
        <f ca="1">+Assumptions!H86</f>
        <v>10064.523979495891</v>
      </c>
      <c r="I43" s="52">
        <f ca="1">+Assumptions!I86</f>
        <v>10281.486139730629</v>
      </c>
      <c r="J43" s="52">
        <f ca="1">+Assumptions!J86</f>
        <v>10503.290769892033</v>
      </c>
      <c r="K43" s="52">
        <f ca="1">+Assumptions!K86</f>
        <v>10730.049745449145</v>
      </c>
    </row>
    <row r="44" spans="2:11" x14ac:dyDescent="0.35">
      <c r="B44" s="33" t="s">
        <v>94</v>
      </c>
      <c r="C44" s="47">
        <v>1532</v>
      </c>
      <c r="D44" s="47">
        <f>1739</f>
        <v>1739</v>
      </c>
      <c r="E44" s="47">
        <f>2014</f>
        <v>2014</v>
      </c>
      <c r="F44" s="52">
        <f ca="1">+Assumptions!F92</f>
        <v>3906.1004819178079</v>
      </c>
      <c r="G44" s="52">
        <f ca="1">+Assumptions!G92</f>
        <v>3990.179484098629</v>
      </c>
      <c r="H44" s="52">
        <f ca="1">+Assumptions!H92</f>
        <v>4076.1322116958349</v>
      </c>
      <c r="I44" s="52">
        <f ca="1">+Assumptions!I92</f>
        <v>4164.0018865909051</v>
      </c>
      <c r="J44" s="52">
        <f ca="1">+Assumptions!J92</f>
        <v>4253.832761806274</v>
      </c>
      <c r="K44" s="52">
        <f ca="1">+Assumptions!K92</f>
        <v>4345.6701469069039</v>
      </c>
    </row>
    <row r="45" spans="2:11" x14ac:dyDescent="0.35">
      <c r="B45" s="33" t="s">
        <v>95</v>
      </c>
      <c r="C45" s="47">
        <v>146</v>
      </c>
      <c r="D45" s="47">
        <v>35</v>
      </c>
      <c r="E45" s="47">
        <v>32</v>
      </c>
      <c r="F45" s="81">
        <f ca="1">Assumptions!F98</f>
        <v>32.048000000000002</v>
      </c>
      <c r="G45" s="81">
        <f ca="1">Assumptions!G98</f>
        <v>32.096072000000007</v>
      </c>
      <c r="H45" s="81">
        <f ca="1">Assumptions!H98</f>
        <v>32.144216108000009</v>
      </c>
      <c r="I45" s="81">
        <f ca="1">Assumptions!I98</f>
        <v>32.192432432162008</v>
      </c>
      <c r="J45" s="81">
        <f ca="1">Assumptions!J98</f>
        <v>32.240721080810253</v>
      </c>
      <c r="K45" s="81">
        <f ca="1">Assumptions!K98</f>
        <v>32.28908216243147</v>
      </c>
    </row>
    <row r="46" spans="2:11" x14ac:dyDescent="0.35">
      <c r="B46" s="33" t="s">
        <v>96</v>
      </c>
      <c r="C46" s="47">
        <v>23</v>
      </c>
      <c r="D46" s="47">
        <v>9</v>
      </c>
      <c r="E46" s="47">
        <v>10</v>
      </c>
      <c r="F46" s="52">
        <f ca="1">Assumptions!F104</f>
        <v>10.0023</v>
      </c>
      <c r="G46" s="52">
        <f ca="1">Assumptions!G104</f>
        <v>10.004600528999999</v>
      </c>
      <c r="H46" s="52">
        <f ca="1">Assumptions!H104</f>
        <v>10.00690158712167</v>
      </c>
      <c r="I46" s="52">
        <f ca="1">Assumptions!I104</f>
        <v>10.009203174486707</v>
      </c>
      <c r="J46" s="52">
        <f ca="1">Assumptions!J104</f>
        <v>10.011505291216839</v>
      </c>
      <c r="K46" s="52">
        <f ca="1">Assumptions!K104</f>
        <v>10.013807937433818</v>
      </c>
    </row>
    <row r="47" spans="2:11" x14ac:dyDescent="0.35">
      <c r="B47" s="33" t="s">
        <v>97</v>
      </c>
      <c r="C47" s="47">
        <v>275</v>
      </c>
      <c r="D47" s="47">
        <v>213</v>
      </c>
      <c r="E47" s="47">
        <v>437</v>
      </c>
      <c r="F47" s="52">
        <f ca="1">+Assumptions!F110</f>
        <v>463.19905</v>
      </c>
      <c r="G47" s="52">
        <f ca="1">+Assumptions!G110</f>
        <v>473.16943199999997</v>
      </c>
      <c r="H47" s="52">
        <f ca="1">+Assumptions!H110</f>
        <v>483.36200690999999</v>
      </c>
      <c r="I47" s="52">
        <f ca="1">+Assumptions!I110</f>
        <v>493.7819001318</v>
      </c>
      <c r="J47" s="52">
        <f ca="1">+Assumptions!J110</f>
        <v>504.43435934349901</v>
      </c>
      <c r="K47" s="52">
        <f ca="1">+Assumptions!K110</f>
        <v>515.32475751170239</v>
      </c>
    </row>
    <row r="48" spans="2:11" x14ac:dyDescent="0.35">
      <c r="B48" s="2" t="s">
        <v>98</v>
      </c>
      <c r="C48" s="44">
        <f>+SUM(C43:C47)</f>
        <v>7173</v>
      </c>
      <c r="D48" s="44">
        <f t="shared" ref="D48:E48" si="22">+SUM(D43:D47)</f>
        <v>5950</v>
      </c>
      <c r="E48" s="44">
        <f t="shared" si="22"/>
        <v>10201</v>
      </c>
      <c r="F48" s="44">
        <f t="shared" ref="F48" ca="1" si="23">+SUM(F43:F47)</f>
        <v>14056.042379863013</v>
      </c>
      <c r="G48" s="44">
        <f t="shared" ref="G48" ca="1" si="24">+SUM(G43:G47)</f>
        <v>14357.744611093383</v>
      </c>
      <c r="H48" s="44">
        <f t="shared" ref="H48" ca="1" si="25">+SUM(H43:H47)</f>
        <v>14666.169315796846</v>
      </c>
      <c r="I48" s="44">
        <f t="shared" ref="I48" ca="1" si="26">+SUM(I43:I47)</f>
        <v>14981.471562059984</v>
      </c>
      <c r="J48" s="44">
        <f t="shared" ref="J48:K48" ca="1" si="27">+SUM(J43:J47)</f>
        <v>15303.810117413834</v>
      </c>
      <c r="K48" s="44">
        <f t="shared" ca="1" si="27"/>
        <v>15633.347539967617</v>
      </c>
    </row>
    <row r="50" spans="2:11" x14ac:dyDescent="0.35">
      <c r="B50" s="33" t="s">
        <v>99</v>
      </c>
      <c r="C50" s="47">
        <f>4118+31</f>
        <v>4149</v>
      </c>
      <c r="D50" s="47">
        <f>2809+27</f>
        <v>2836</v>
      </c>
      <c r="E50" s="47">
        <v>6834</v>
      </c>
      <c r="F50" s="52">
        <f ca="1">+Assumptions!F116</f>
        <v>9331.2400401369869</v>
      </c>
      <c r="G50" s="52">
        <f ca="1">+Assumptions!G116</f>
        <v>9532.0954342356144</v>
      </c>
      <c r="H50" s="52">
        <f ca="1">+Assumptions!H116</f>
        <v>9737.426950162273</v>
      </c>
      <c r="I50" s="52">
        <f ca="1">+Assumptions!I116</f>
        <v>9947.3378401893842</v>
      </c>
      <c r="J50" s="52">
        <f ca="1">+Assumptions!J116</f>
        <v>10161.933819870543</v>
      </c>
      <c r="K50" s="52">
        <f ca="1">+Assumptions!K116</f>
        <v>10381.32312872205</v>
      </c>
    </row>
    <row r="51" spans="2:11" x14ac:dyDescent="0.35">
      <c r="B51" s="33" t="s">
        <v>100</v>
      </c>
      <c r="C51" s="47">
        <v>147</v>
      </c>
      <c r="D51" s="47">
        <v>238</v>
      </c>
      <c r="E51" s="47">
        <v>203</v>
      </c>
      <c r="F51" s="52">
        <f ca="1">Assumptions!F122</f>
        <v>203.73080000000002</v>
      </c>
      <c r="G51" s="52">
        <f ca="1">Assumptions!G122</f>
        <v>204.46423088000003</v>
      </c>
      <c r="H51" s="52">
        <f ca="1">Assumptions!H122</f>
        <v>205.20030211116804</v>
      </c>
      <c r="I51" s="52">
        <f ca="1">Assumptions!I122</f>
        <v>205.93902319876827</v>
      </c>
      <c r="J51" s="52">
        <f ca="1">Assumptions!J122</f>
        <v>206.68040368228384</v>
      </c>
      <c r="K51" s="52">
        <f ca="1">Assumptions!K122</f>
        <v>207.42445313554006</v>
      </c>
    </row>
    <row r="52" spans="2:11" x14ac:dyDescent="0.35">
      <c r="B52" s="33" t="s">
        <v>101</v>
      </c>
      <c r="C52" s="47">
        <v>60</v>
      </c>
      <c r="D52" s="47">
        <v>53</v>
      </c>
      <c r="E52" s="47">
        <v>47</v>
      </c>
      <c r="F52" s="52">
        <f ca="1">Assumptions!F128</f>
        <v>47.046999999999997</v>
      </c>
      <c r="G52" s="52">
        <f ca="1">Assumptions!G128</f>
        <v>47.094046999999989</v>
      </c>
      <c r="H52" s="52">
        <f ca="1">Assumptions!H128</f>
        <v>47.141141046999984</v>
      </c>
      <c r="I52" s="52">
        <f ca="1">Assumptions!I128</f>
        <v>47.188282188046976</v>
      </c>
      <c r="J52" s="52">
        <f ca="1">Assumptions!J128</f>
        <v>47.235470470235015</v>
      </c>
      <c r="K52" s="52">
        <f ca="1">Assumptions!K128</f>
        <v>47.282705940705242</v>
      </c>
    </row>
    <row r="53" spans="2:11" x14ac:dyDescent="0.35">
      <c r="B53" s="33" t="s">
        <v>102</v>
      </c>
      <c r="C53" s="47">
        <f>3342</f>
        <v>3342</v>
      </c>
      <c r="D53" s="47">
        <v>2775</v>
      </c>
      <c r="E53" s="47">
        <v>3071</v>
      </c>
      <c r="F53" s="52">
        <f ca="1">+Assumptions!F134</f>
        <v>5558.3885999999993</v>
      </c>
      <c r="G53" s="52">
        <f ca="1">+Assumptions!G134</f>
        <v>5678.033183999999</v>
      </c>
      <c r="H53" s="52">
        <f ca="1">+Assumptions!H134</f>
        <v>5800.3440829199999</v>
      </c>
      <c r="I53" s="52">
        <f ca="1">+Assumptions!I134</f>
        <v>5925.3828015815998</v>
      </c>
      <c r="J53" s="52">
        <f ca="1">+Assumptions!J134</f>
        <v>6053.2123121219884</v>
      </c>
      <c r="K53" s="52">
        <f ca="1">+Assumptions!K134</f>
        <v>6183.8970901404291</v>
      </c>
    </row>
    <row r="54" spans="2:11" x14ac:dyDescent="0.35">
      <c r="B54" s="2" t="s">
        <v>103</v>
      </c>
      <c r="C54" s="44">
        <f t="shared" ref="C54:K54" si="28">+SUM(C50:C53)</f>
        <v>7698</v>
      </c>
      <c r="D54" s="44">
        <f t="shared" si="28"/>
        <v>5902</v>
      </c>
      <c r="E54" s="44">
        <f t="shared" si="28"/>
        <v>10155</v>
      </c>
      <c r="F54" s="44">
        <f t="shared" ca="1" si="28"/>
        <v>15140.406440136987</v>
      </c>
      <c r="G54" s="44">
        <f t="shared" ca="1" si="28"/>
        <v>15461.686896115614</v>
      </c>
      <c r="H54" s="44">
        <f t="shared" ca="1" si="28"/>
        <v>15790.11247624044</v>
      </c>
      <c r="I54" s="44">
        <f t="shared" ca="1" si="28"/>
        <v>16125.847947157799</v>
      </c>
      <c r="J54" s="44">
        <f t="shared" ca="1" si="28"/>
        <v>16469.06200614505</v>
      </c>
      <c r="K54" s="44">
        <f t="shared" ca="1" si="28"/>
        <v>16819.927377938722</v>
      </c>
    </row>
    <row r="56" spans="2:11" x14ac:dyDescent="0.35">
      <c r="B56" s="33" t="s">
        <v>104</v>
      </c>
      <c r="C56" s="48">
        <f t="shared" ref="C56:K56" si="29">+C48-C54</f>
        <v>-525</v>
      </c>
      <c r="D56" s="48">
        <f t="shared" si="29"/>
        <v>48</v>
      </c>
      <c r="E56" s="48">
        <f t="shared" si="29"/>
        <v>46</v>
      </c>
      <c r="F56" s="48">
        <f t="shared" ca="1" si="29"/>
        <v>-1084.3640602739742</v>
      </c>
      <c r="G56" s="48">
        <f t="shared" ca="1" si="29"/>
        <v>-1103.9422850222309</v>
      </c>
      <c r="H56" s="48">
        <f t="shared" ca="1" si="29"/>
        <v>-1123.943160443594</v>
      </c>
      <c r="I56" s="48">
        <f t="shared" ca="1" si="29"/>
        <v>-1144.3763850978157</v>
      </c>
      <c r="J56" s="48">
        <f t="shared" ca="1" si="29"/>
        <v>-1165.2518887312162</v>
      </c>
      <c r="K56" s="48">
        <f t="shared" ca="1" si="29"/>
        <v>-1186.579837971105</v>
      </c>
    </row>
    <row r="57" spans="2:11" x14ac:dyDescent="0.35">
      <c r="B57" s="4" t="s">
        <v>105</v>
      </c>
      <c r="C57" s="44"/>
      <c r="D57" s="44">
        <f>+C56-D56</f>
        <v>-573</v>
      </c>
      <c r="E57" s="44">
        <f>+D56-E56</f>
        <v>2</v>
      </c>
      <c r="F57" s="44">
        <f t="shared" ref="F57:K57" ca="1" si="30">+E56-F56</f>
        <v>1130.3640602739742</v>
      </c>
      <c r="G57" s="44">
        <f t="shared" ca="1" si="30"/>
        <v>19.578224748256616</v>
      </c>
      <c r="H57" s="44">
        <f t="shared" ca="1" si="30"/>
        <v>20.000875421363162</v>
      </c>
      <c r="I57" s="44">
        <f t="shared" ca="1" si="30"/>
        <v>20.433224654221704</v>
      </c>
      <c r="J57" s="44">
        <f t="shared" ca="1" si="30"/>
        <v>20.875503633400513</v>
      </c>
      <c r="K57" s="44">
        <f t="shared" ca="1" si="30"/>
        <v>21.327949239888767</v>
      </c>
    </row>
    <row r="73" spans="3:3" x14ac:dyDescent="0.35">
      <c r="C73" s="1">
        <f>+(C72/'Operating Build'!C14)*365</f>
        <v>0</v>
      </c>
    </row>
  </sheetData>
  <mergeCells count="2">
    <mergeCell ref="C6:E6"/>
    <mergeCell ref="F6:K6"/>
  </mergeCells>
  <pageMargins left="0.7" right="0.7" top="0.75" bottom="0.75" header="0.3" footer="0.3"/>
  <pageSetup orientation="portrait" r:id="rId1"/>
  <customProperties>
    <customPr name="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BBC73-4503-4B49-9836-7D10DBD3A483}">
  <sheetPr>
    <tabColor theme="1"/>
  </sheetPr>
  <dimension ref="A2:L144"/>
  <sheetViews>
    <sheetView showGridLines="0" workbookViewId="0">
      <pane xSplit="1" ySplit="7" topLeftCell="B36" activePane="bottomRight" state="frozen"/>
      <selection pane="topRight" activeCell="B1" sqref="B1"/>
      <selection pane="bottomLeft" activeCell="A8" sqref="A8"/>
      <selection pane="bottomRight" activeCell="F48" sqref="F48:K48"/>
    </sheetView>
  </sheetViews>
  <sheetFormatPr defaultColWidth="10.7265625" defaultRowHeight="14.5" outlineLevelCol="1" x14ac:dyDescent="0.35"/>
  <cols>
    <col min="1" max="1" width="2.7265625" style="1" customWidth="1"/>
    <col min="2" max="2" width="35.7265625" style="1" customWidth="1"/>
    <col min="3" max="5" width="10.7265625" style="1" customWidth="1" outlineLevel="1"/>
    <col min="6" max="8" width="10.7265625" style="1" customWidth="1"/>
    <col min="9" max="9" width="11.7265625" style="1" bestFit="1" customWidth="1"/>
    <col min="10" max="10" width="11.453125" style="1" bestFit="1" customWidth="1"/>
    <col min="11" max="11" width="11.7265625" style="1" bestFit="1" customWidth="1"/>
    <col min="12" max="14" width="10.7265625" style="1" customWidth="1"/>
    <col min="15" max="16384" width="10.7265625" style="1"/>
  </cols>
  <sheetData>
    <row r="2" spans="1:12" x14ac:dyDescent="0.35">
      <c r="B2" s="2"/>
      <c r="C2" s="71" t="s">
        <v>0</v>
      </c>
    </row>
    <row r="3" spans="1:12" x14ac:dyDescent="0.35">
      <c r="B3" s="3"/>
      <c r="C3" s="3" t="s">
        <v>106</v>
      </c>
    </row>
    <row r="4" spans="1:12" x14ac:dyDescent="0.35">
      <c r="B4" s="4" t="s">
        <v>14</v>
      </c>
      <c r="C4" s="34">
        <f>+Master!$D$8</f>
        <v>0</v>
      </c>
      <c r="D4" s="34">
        <f>+Master!$C$8</f>
        <v>1</v>
      </c>
    </row>
    <row r="5" spans="1:12" x14ac:dyDescent="0.35">
      <c r="B5" s="2"/>
    </row>
    <row r="6" spans="1:12" ht="16" x14ac:dyDescent="0.5">
      <c r="A6" s="1" t="s">
        <v>15</v>
      </c>
      <c r="B6" s="3" t="s">
        <v>18</v>
      </c>
      <c r="C6" s="101" t="s">
        <v>72</v>
      </c>
      <c r="D6" s="101"/>
      <c r="E6" s="101"/>
      <c r="F6" s="102" t="s">
        <v>73</v>
      </c>
      <c r="G6" s="102"/>
      <c r="H6" s="102"/>
      <c r="I6" s="102"/>
      <c r="J6" s="102"/>
      <c r="K6" s="102"/>
      <c r="L6" s="2"/>
    </row>
    <row r="7" spans="1:12" x14ac:dyDescent="0.35">
      <c r="C7" s="35">
        <v>43732</v>
      </c>
      <c r="D7" s="35">
        <f>+EOMONTH(C7,12)</f>
        <v>44104</v>
      </c>
      <c r="E7" s="35">
        <f t="shared" ref="E7" si="0">+EOMONTH(D7,12)</f>
        <v>44469</v>
      </c>
      <c r="F7" s="5">
        <v>44828</v>
      </c>
      <c r="G7" s="5">
        <f>+EOMONTH(F7,12)</f>
        <v>45199</v>
      </c>
      <c r="H7" s="5">
        <f t="shared" ref="H7:K7" si="1">+EOMONTH(G7,12)</f>
        <v>45565</v>
      </c>
      <c r="I7" s="5">
        <f t="shared" si="1"/>
        <v>45930</v>
      </c>
      <c r="J7" s="5">
        <f t="shared" si="1"/>
        <v>46295</v>
      </c>
      <c r="K7" s="5">
        <f t="shared" si="1"/>
        <v>46660</v>
      </c>
    </row>
    <row r="8" spans="1:12" x14ac:dyDescent="0.35">
      <c r="B8" s="4" t="s">
        <v>74</v>
      </c>
      <c r="C8" s="51">
        <f>+'Operating Build'!C8</f>
        <v>16752</v>
      </c>
      <c r="D8" s="51">
        <f>+'Operating Build'!D8</f>
        <v>10514</v>
      </c>
      <c r="E8" s="51">
        <f>+'Operating Build'!E8</f>
        <v>17766</v>
      </c>
      <c r="F8" s="44">
        <f ca="1">+E8*(1+F9)</f>
        <v>27004.32</v>
      </c>
      <c r="G8" s="44">
        <f t="shared" ref="G8:I8" ca="1" si="2">+F8*(1+G9)</f>
        <v>27544.4064</v>
      </c>
      <c r="H8" s="44">
        <f t="shared" ca="1" si="2"/>
        <v>28095.294527999999</v>
      </c>
      <c r="I8" s="44">
        <f t="shared" ca="1" si="2"/>
        <v>28657.200418559998</v>
      </c>
      <c r="J8" s="44">
        <f ca="1">+I8*(1+J9)</f>
        <v>29230.344426931199</v>
      </c>
      <c r="K8" s="44">
        <f ca="1">+J8*(1+K9)</f>
        <v>29814.951315469822</v>
      </c>
    </row>
    <row r="9" spans="1:12" x14ac:dyDescent="0.35">
      <c r="B9" s="32" t="s">
        <v>21</v>
      </c>
      <c r="C9" s="3"/>
      <c r="D9" s="45">
        <f>+D8/C8-1</f>
        <v>-0.37237344794651384</v>
      </c>
      <c r="E9" s="45">
        <f>+E8/D8-1</f>
        <v>0.68974700399467381</v>
      </c>
      <c r="F9" s="45">
        <f t="shared" ref="F9:K9" ca="1" si="3">+OFFSET(F9,$D$4,)</f>
        <v>0.52</v>
      </c>
      <c r="G9" s="45">
        <f t="shared" ca="1" si="3"/>
        <v>0.02</v>
      </c>
      <c r="H9" s="45">
        <f t="shared" ca="1" si="3"/>
        <v>0.02</v>
      </c>
      <c r="I9" s="45">
        <f t="shared" ca="1" si="3"/>
        <v>0.02</v>
      </c>
      <c r="J9" s="45">
        <f t="shared" ca="1" si="3"/>
        <v>0.02</v>
      </c>
      <c r="K9" s="45">
        <f t="shared" ca="1" si="3"/>
        <v>0.02</v>
      </c>
    </row>
    <row r="10" spans="1:12" x14ac:dyDescent="0.35">
      <c r="B10" s="33" t="s">
        <v>9</v>
      </c>
      <c r="F10" s="46">
        <v>0.52</v>
      </c>
      <c r="G10" s="46">
        <v>0.02</v>
      </c>
      <c r="H10" s="46">
        <v>0.02</v>
      </c>
      <c r="I10" s="46">
        <v>0.02</v>
      </c>
      <c r="J10" s="46">
        <v>0.02</v>
      </c>
      <c r="K10" s="46">
        <v>0.02</v>
      </c>
    </row>
    <row r="11" spans="1:12" x14ac:dyDescent="0.35">
      <c r="B11" s="33" t="s">
        <v>11</v>
      </c>
      <c r="F11" s="46">
        <v>0.53</v>
      </c>
      <c r="G11" s="46">
        <v>2.5000000000000001E-2</v>
      </c>
      <c r="H11" s="46">
        <v>2.5000000000000001E-2</v>
      </c>
      <c r="I11" s="46">
        <v>2.5000000000000001E-2</v>
      </c>
      <c r="J11" s="46">
        <v>2.5000000000000001E-2</v>
      </c>
      <c r="K11" s="46">
        <v>2.5000000000000001E-2</v>
      </c>
    </row>
    <row r="12" spans="1:12" x14ac:dyDescent="0.35">
      <c r="B12" s="33" t="s">
        <v>12</v>
      </c>
      <c r="F12" s="46">
        <v>0.51</v>
      </c>
      <c r="G12" s="46">
        <v>0.01</v>
      </c>
      <c r="H12" s="46">
        <v>0.01</v>
      </c>
      <c r="I12" s="46">
        <v>0.01</v>
      </c>
      <c r="J12" s="46">
        <v>0.01</v>
      </c>
      <c r="K12" s="46">
        <v>0.01</v>
      </c>
    </row>
    <row r="14" spans="1:12" x14ac:dyDescent="0.35">
      <c r="B14" s="4" t="s">
        <v>75</v>
      </c>
      <c r="C14" s="51">
        <f>'Operating Build'!C9</f>
        <v>15917</v>
      </c>
      <c r="D14" s="51">
        <f>'Operating Build'!D9</f>
        <v>9442</v>
      </c>
      <c r="E14" s="51">
        <f>'Operating Build'!E9</f>
        <v>15299</v>
      </c>
      <c r="F14" s="44">
        <f ca="1">+E14*(1+F15)</f>
        <v>23560.46</v>
      </c>
      <c r="G14" s="44">
        <f t="shared" ref="G14" ca="1" si="4">+F14*(1+G15)</f>
        <v>24031.6692</v>
      </c>
      <c r="H14" s="44">
        <f t="shared" ref="H14" ca="1" si="5">+G14*(1+H15)</f>
        <v>24512.302584000001</v>
      </c>
      <c r="I14" s="44">
        <f t="shared" ref="I14" ca="1" si="6">+H14*(1+I15)</f>
        <v>25002.548635680003</v>
      </c>
      <c r="J14" s="44">
        <f ca="1">+I14*(1+J15)</f>
        <v>25502.599608393604</v>
      </c>
      <c r="K14" s="44">
        <f ca="1">+J14*(1+K15)</f>
        <v>26012.651600561476</v>
      </c>
    </row>
    <row r="15" spans="1:12" x14ac:dyDescent="0.35">
      <c r="B15" s="32" t="s">
        <v>21</v>
      </c>
      <c r="C15" s="3"/>
      <c r="D15" s="45">
        <f>+D14/C14-1</f>
        <v>-0.40679776339762519</v>
      </c>
      <c r="E15" s="45">
        <f>+E14/D14-1</f>
        <v>0.62031349290404569</v>
      </c>
      <c r="F15" s="45">
        <f t="shared" ref="F15:K15" ca="1" si="7">+OFFSET(F15,$D$4,)</f>
        <v>0.54</v>
      </c>
      <c r="G15" s="45">
        <f t="shared" ca="1" si="7"/>
        <v>0.02</v>
      </c>
      <c r="H15" s="45">
        <f t="shared" ca="1" si="7"/>
        <v>0.02</v>
      </c>
      <c r="I15" s="45">
        <f t="shared" ca="1" si="7"/>
        <v>0.02</v>
      </c>
      <c r="J15" s="45">
        <f t="shared" ca="1" si="7"/>
        <v>0.02</v>
      </c>
      <c r="K15" s="45">
        <f t="shared" ca="1" si="7"/>
        <v>0.02</v>
      </c>
    </row>
    <row r="16" spans="1:12" x14ac:dyDescent="0.35">
      <c r="B16" s="33" t="s">
        <v>9</v>
      </c>
      <c r="F16" s="46">
        <v>0.54</v>
      </c>
      <c r="G16" s="46">
        <v>0.02</v>
      </c>
      <c r="H16" s="46">
        <v>0.02</v>
      </c>
      <c r="I16" s="46">
        <v>0.02</v>
      </c>
      <c r="J16" s="46">
        <v>0.02</v>
      </c>
      <c r="K16" s="46">
        <v>0.02</v>
      </c>
    </row>
    <row r="17" spans="2:11" x14ac:dyDescent="0.35">
      <c r="B17" s="33" t="s">
        <v>11</v>
      </c>
      <c r="F17" s="46">
        <v>0.55000000000000004</v>
      </c>
      <c r="G17" s="46">
        <v>2.5000000000000001E-2</v>
      </c>
      <c r="H17" s="46">
        <v>2.5000000000000001E-2</v>
      </c>
      <c r="I17" s="46">
        <v>2.5000000000000001E-2</v>
      </c>
      <c r="J17" s="46">
        <v>2.5000000000000001E-2</v>
      </c>
      <c r="K17" s="46">
        <v>2.5000000000000001E-2</v>
      </c>
    </row>
    <row r="18" spans="2:11" x14ac:dyDescent="0.35">
      <c r="B18" s="33" t="s">
        <v>12</v>
      </c>
      <c r="F18" s="46">
        <v>0.51</v>
      </c>
      <c r="G18" s="46">
        <v>0.01</v>
      </c>
      <c r="H18" s="46">
        <v>0.01</v>
      </c>
      <c r="I18" s="46">
        <v>0.01</v>
      </c>
      <c r="J18" s="46">
        <v>0.01</v>
      </c>
      <c r="K18" s="46">
        <v>0.01</v>
      </c>
    </row>
    <row r="19" spans="2:11" x14ac:dyDescent="0.35">
      <c r="B19" s="33"/>
      <c r="F19"/>
      <c r="G19"/>
      <c r="H19"/>
      <c r="I19"/>
      <c r="J19"/>
      <c r="K19"/>
    </row>
    <row r="20" spans="2:11" x14ac:dyDescent="0.35">
      <c r="B20" s="4" t="s">
        <v>76</v>
      </c>
      <c r="C20" s="51">
        <f>'Operating Build'!C10</f>
        <v>8290</v>
      </c>
      <c r="D20" s="51">
        <f>'Operating Build'!D10</f>
        <v>6797</v>
      </c>
      <c r="E20" s="51">
        <f>'Operating Build'!E10</f>
        <v>15243</v>
      </c>
      <c r="F20" s="44">
        <f ca="1">+E20*(1+F21)</f>
        <v>20730.48</v>
      </c>
      <c r="G20" s="44">
        <f t="shared" ref="G20" ca="1" si="8">+F20*(1+G21)</f>
        <v>21248.741999999998</v>
      </c>
      <c r="H20" s="44">
        <f t="shared" ref="H20" ca="1" si="9">+G20*(1+H21)</f>
        <v>21779.960549999996</v>
      </c>
      <c r="I20" s="44">
        <f t="shared" ref="I20" ca="1" si="10">+H20*(1+I21)</f>
        <v>22324.459563749995</v>
      </c>
      <c r="J20" s="44">
        <f ca="1">+I20*(1+J21)</f>
        <v>22882.571052843745</v>
      </c>
      <c r="K20" s="44">
        <f ca="1">+J20*(1+K21)</f>
        <v>23454.635329164837</v>
      </c>
    </row>
    <row r="21" spans="2:11" x14ac:dyDescent="0.35">
      <c r="B21" s="32" t="s">
        <v>21</v>
      </c>
      <c r="C21" s="3"/>
      <c r="D21" s="45">
        <f>+D20/C20-1</f>
        <v>-0.18009650180940895</v>
      </c>
      <c r="E21" s="45">
        <f>+E20/D20-1</f>
        <v>1.2426070325143446</v>
      </c>
      <c r="F21" s="45">
        <f t="shared" ref="F21:K21" ca="1" si="11">+OFFSET(F21,$D$4,)</f>
        <v>0.36</v>
      </c>
      <c r="G21" s="45">
        <f t="shared" ca="1" si="11"/>
        <v>2.5000000000000001E-2</v>
      </c>
      <c r="H21" s="45">
        <f t="shared" ca="1" si="11"/>
        <v>2.5000000000000001E-2</v>
      </c>
      <c r="I21" s="45">
        <f t="shared" ca="1" si="11"/>
        <v>2.5000000000000001E-2</v>
      </c>
      <c r="J21" s="45">
        <f t="shared" ca="1" si="11"/>
        <v>2.5000000000000001E-2</v>
      </c>
      <c r="K21" s="45">
        <f t="shared" ca="1" si="11"/>
        <v>2.5000000000000001E-2</v>
      </c>
    </row>
    <row r="22" spans="2:11" x14ac:dyDescent="0.35">
      <c r="B22" s="33" t="s">
        <v>9</v>
      </c>
      <c r="F22" s="46">
        <v>0.36</v>
      </c>
      <c r="G22" s="46">
        <v>2.5000000000000001E-2</v>
      </c>
      <c r="H22" s="46">
        <v>2.5000000000000001E-2</v>
      </c>
      <c r="I22" s="46">
        <v>2.5000000000000001E-2</v>
      </c>
      <c r="J22" s="46">
        <v>2.5000000000000001E-2</v>
      </c>
      <c r="K22" s="46">
        <v>2.5000000000000001E-2</v>
      </c>
    </row>
    <row r="23" spans="2:11" x14ac:dyDescent="0.35">
      <c r="B23" s="33" t="s">
        <v>11</v>
      </c>
      <c r="F23" s="46">
        <v>0.37</v>
      </c>
      <c r="G23" s="46">
        <v>0.03</v>
      </c>
      <c r="H23" s="46">
        <v>0.03</v>
      </c>
      <c r="I23" s="46">
        <v>0.03</v>
      </c>
      <c r="J23" s="46">
        <v>0.03</v>
      </c>
      <c r="K23" s="46">
        <v>0.03</v>
      </c>
    </row>
    <row r="24" spans="2:11" x14ac:dyDescent="0.35">
      <c r="B24" s="33" t="s">
        <v>12</v>
      </c>
      <c r="F24" s="46">
        <v>0.35</v>
      </c>
      <c r="G24" s="46">
        <v>1.4999999999999999E-2</v>
      </c>
      <c r="H24" s="46">
        <v>1.4999999999999999E-2</v>
      </c>
      <c r="I24" s="46">
        <v>1.4999999999999999E-2</v>
      </c>
      <c r="J24" s="46">
        <v>1.4999999999999999E-2</v>
      </c>
      <c r="K24" s="46">
        <v>1.4999999999999999E-2</v>
      </c>
    </row>
    <row r="26" spans="2:11" x14ac:dyDescent="0.35">
      <c r="B26" s="4" t="s">
        <v>77</v>
      </c>
      <c r="C26" s="51">
        <f>'Operating Build'!C11</f>
        <v>9086</v>
      </c>
      <c r="D26" s="51">
        <f>'Operating Build'!D11</f>
        <v>8982</v>
      </c>
      <c r="E26" s="51">
        <f>'Operating Build'!E11</f>
        <v>9299</v>
      </c>
      <c r="F26" s="44">
        <f ca="1">+E26*(1+F27)</f>
        <v>11158.8</v>
      </c>
      <c r="G26" s="44">
        <f t="shared" ref="G26" ca="1" si="12">+F26*(1+G27)</f>
        <v>11326.181999999999</v>
      </c>
      <c r="H26" s="44">
        <f t="shared" ref="H26" ca="1" si="13">+G26*(1+H27)</f>
        <v>11496.074729999998</v>
      </c>
      <c r="I26" s="44">
        <f t="shared" ref="I26" ca="1" si="14">+H26*(1+I27)</f>
        <v>11668.515850949998</v>
      </c>
      <c r="J26" s="44">
        <f ca="1">+I26*(1+J27)</f>
        <v>11843.543588714247</v>
      </c>
      <c r="K26" s="44">
        <f ca="1">+J26*(1+K27)</f>
        <v>12021.196742544958</v>
      </c>
    </row>
    <row r="27" spans="2:11" x14ac:dyDescent="0.35">
      <c r="B27" s="32" t="s">
        <v>21</v>
      </c>
      <c r="C27" s="3"/>
      <c r="D27" s="45">
        <f>+D26/C26-1</f>
        <v>-1.1446180937706329E-2</v>
      </c>
      <c r="E27" s="45">
        <f>+E26/D26-1</f>
        <v>3.529280783789801E-2</v>
      </c>
      <c r="F27" s="45">
        <f t="shared" ref="F27:K27" ca="1" si="15">+OFFSET(F27,$D$4,)</f>
        <v>0.2</v>
      </c>
      <c r="G27" s="45">
        <f t="shared" ca="1" si="15"/>
        <v>1.4999999999999999E-2</v>
      </c>
      <c r="H27" s="45">
        <f t="shared" ca="1" si="15"/>
        <v>1.4999999999999999E-2</v>
      </c>
      <c r="I27" s="45">
        <f t="shared" ca="1" si="15"/>
        <v>1.4999999999999999E-2</v>
      </c>
      <c r="J27" s="45">
        <f t="shared" ca="1" si="15"/>
        <v>1.4999999999999999E-2</v>
      </c>
      <c r="K27" s="45">
        <f t="shared" ca="1" si="15"/>
        <v>1.4999999999999999E-2</v>
      </c>
    </row>
    <row r="28" spans="2:11" x14ac:dyDescent="0.35">
      <c r="B28" s="33" t="s">
        <v>9</v>
      </c>
      <c r="F28" s="46">
        <v>0.2</v>
      </c>
      <c r="G28" s="46">
        <v>1.4999999999999999E-2</v>
      </c>
      <c r="H28" s="46">
        <v>1.4999999999999999E-2</v>
      </c>
      <c r="I28" s="46">
        <v>1.4999999999999999E-2</v>
      </c>
      <c r="J28" s="46">
        <v>1.4999999999999999E-2</v>
      </c>
      <c r="K28" s="46">
        <v>1.4999999999999999E-2</v>
      </c>
    </row>
    <row r="29" spans="2:11" x14ac:dyDescent="0.35">
      <c r="B29" s="33" t="s">
        <v>11</v>
      </c>
      <c r="F29" s="46">
        <v>0.21</v>
      </c>
      <c r="G29" s="46">
        <v>0.02</v>
      </c>
      <c r="H29" s="46">
        <v>0.02</v>
      </c>
      <c r="I29" s="46">
        <v>0.02</v>
      </c>
      <c r="J29" s="46">
        <v>0.02</v>
      </c>
      <c r="K29" s="46">
        <v>0.02</v>
      </c>
    </row>
    <row r="30" spans="2:11" x14ac:dyDescent="0.35">
      <c r="B30" s="33" t="s">
        <v>12</v>
      </c>
      <c r="F30" s="46">
        <v>0.19600000000000001</v>
      </c>
      <c r="G30" s="46">
        <v>0.01</v>
      </c>
      <c r="H30" s="46">
        <v>0.01</v>
      </c>
      <c r="I30" s="46">
        <v>0.01</v>
      </c>
      <c r="J30" s="46">
        <v>0.01</v>
      </c>
      <c r="K30" s="46">
        <v>0.01</v>
      </c>
    </row>
    <row r="31" spans="2:11" x14ac:dyDescent="0.35">
      <c r="B31" s="33"/>
      <c r="F31"/>
      <c r="G31"/>
      <c r="H31"/>
      <c r="I31"/>
      <c r="J31"/>
      <c r="K31"/>
    </row>
    <row r="32" spans="2:11" x14ac:dyDescent="0.35">
      <c r="B32" s="4" t="s">
        <v>78</v>
      </c>
      <c r="C32" s="51">
        <f>'Operating Build'!C12</f>
        <v>3295</v>
      </c>
      <c r="D32" s="51">
        <f>'Operating Build'!D12</f>
        <v>2633</v>
      </c>
      <c r="E32" s="51">
        <f>'Operating Build'!E12</f>
        <v>9159</v>
      </c>
      <c r="F32" s="44">
        <f ca="1">+E32*(1+F33)</f>
        <v>9342.18</v>
      </c>
      <c r="G32" s="44">
        <f t="shared" ref="G32" ca="1" si="16">+F32*(1+G33)</f>
        <v>9622.4454000000005</v>
      </c>
      <c r="H32" s="44">
        <f t="shared" ref="H32" ca="1" si="17">+G32*(1+H33)</f>
        <v>9911.1187620000001</v>
      </c>
      <c r="I32" s="44">
        <f t="shared" ref="I32" ca="1" si="18">+H32*(1+I33)</f>
        <v>10208.45232486</v>
      </c>
      <c r="J32" s="44">
        <f ca="1">+I32*(1+J33)</f>
        <v>10514.7058946058</v>
      </c>
      <c r="K32" s="44">
        <f ca="1">+J32*(1+K33)</f>
        <v>10830.147071443975</v>
      </c>
    </row>
    <row r="33" spans="2:11" x14ac:dyDescent="0.35">
      <c r="B33" s="32" t="s">
        <v>21</v>
      </c>
      <c r="C33" s="3"/>
      <c r="D33" s="45">
        <f>+D32/C32-1</f>
        <v>-0.20091047040971166</v>
      </c>
      <c r="E33" s="45">
        <f>+E32/D32-1</f>
        <v>2.4785415875427268</v>
      </c>
      <c r="F33" s="45">
        <f t="shared" ref="F33:K33" ca="1" si="19">+OFFSET(F33,$D$4,)</f>
        <v>0.02</v>
      </c>
      <c r="G33" s="45">
        <f t="shared" ca="1" si="19"/>
        <v>0.03</v>
      </c>
      <c r="H33" s="45">
        <f t="shared" ca="1" si="19"/>
        <v>0.03</v>
      </c>
      <c r="I33" s="45">
        <f t="shared" ca="1" si="19"/>
        <v>0.03</v>
      </c>
      <c r="J33" s="45">
        <f t="shared" ca="1" si="19"/>
        <v>0.03</v>
      </c>
      <c r="K33" s="45">
        <f t="shared" ca="1" si="19"/>
        <v>0.03</v>
      </c>
    </row>
    <row r="34" spans="2:11" x14ac:dyDescent="0.35">
      <c r="B34" s="33" t="s">
        <v>9</v>
      </c>
      <c r="F34" s="46">
        <v>0.02</v>
      </c>
      <c r="G34" s="46">
        <v>0.03</v>
      </c>
      <c r="H34" s="46">
        <v>0.03</v>
      </c>
      <c r="I34" s="46">
        <v>0.03</v>
      </c>
      <c r="J34" s="46">
        <v>0.03</v>
      </c>
      <c r="K34" s="46">
        <v>0.03</v>
      </c>
    </row>
    <row r="35" spans="2:11" x14ac:dyDescent="0.35">
      <c r="B35" s="33" t="s">
        <v>11</v>
      </c>
      <c r="F35" s="46">
        <v>0.03</v>
      </c>
      <c r="G35" s="46">
        <v>3.5000000000000003E-2</v>
      </c>
      <c r="H35" s="46">
        <v>3.5000000000000003E-2</v>
      </c>
      <c r="I35" s="46">
        <v>3.5000000000000003E-2</v>
      </c>
      <c r="J35" s="46">
        <v>3.5000000000000003E-2</v>
      </c>
      <c r="K35" s="46">
        <v>3.5000000000000003E-2</v>
      </c>
    </row>
    <row r="36" spans="2:11" x14ac:dyDescent="0.35">
      <c r="B36" s="33" t="s">
        <v>12</v>
      </c>
      <c r="F36" s="46">
        <v>0.01</v>
      </c>
      <c r="G36" s="46">
        <v>0.02</v>
      </c>
      <c r="H36" s="46">
        <v>0.02</v>
      </c>
      <c r="I36" s="46">
        <v>0.02</v>
      </c>
      <c r="J36" s="46">
        <v>0.02</v>
      </c>
      <c r="K36" s="46">
        <v>0.02</v>
      </c>
    </row>
    <row r="38" spans="2:11" x14ac:dyDescent="0.35">
      <c r="B38" s="4" t="s">
        <v>79</v>
      </c>
      <c r="C38" s="51">
        <f>'Operating Build'!C13</f>
        <v>873</v>
      </c>
      <c r="D38" s="51">
        <f>'Operating Build'!D13</f>
        <v>586</v>
      </c>
      <c r="E38" s="51">
        <f>'Operating Build'!E13</f>
        <v>721</v>
      </c>
      <c r="F38" s="44">
        <f ca="1">+E38*(1+F39)</f>
        <v>843.56999999999994</v>
      </c>
      <c r="G38" s="44">
        <f t="shared" ref="G38" ca="1" si="20">+F38*(1+G39)</f>
        <v>860.44139999999993</v>
      </c>
      <c r="H38" s="44">
        <f t="shared" ref="H38" ca="1" si="21">+G38*(1+H39)</f>
        <v>877.65022799999997</v>
      </c>
      <c r="I38" s="44">
        <f t="shared" ref="I38" ca="1" si="22">+H38*(1+I39)</f>
        <v>895.20323255999995</v>
      </c>
      <c r="J38" s="44">
        <f ca="1">+I38*(1+J39)</f>
        <v>913.10729721119992</v>
      </c>
      <c r="K38" s="44">
        <f ca="1">+J38*(1+K39)</f>
        <v>931.36944315542394</v>
      </c>
    </row>
    <row r="39" spans="2:11" x14ac:dyDescent="0.35">
      <c r="B39" s="32" t="s">
        <v>21</v>
      </c>
      <c r="C39" s="3"/>
      <c r="D39" s="45">
        <f>+D38/C38-1</f>
        <v>-0.3287514318442154</v>
      </c>
      <c r="E39" s="45">
        <f>+E38/D38-1</f>
        <v>0.2303754266211604</v>
      </c>
      <c r="F39" s="45">
        <f t="shared" ref="F39:K39" ca="1" si="23">+OFFSET(F39,$D$4,)</f>
        <v>0.17</v>
      </c>
      <c r="G39" s="45">
        <f t="shared" ca="1" si="23"/>
        <v>0.02</v>
      </c>
      <c r="H39" s="45">
        <f t="shared" ca="1" si="23"/>
        <v>0.02</v>
      </c>
      <c r="I39" s="45">
        <f t="shared" ca="1" si="23"/>
        <v>0.02</v>
      </c>
      <c r="J39" s="45">
        <f t="shared" ca="1" si="23"/>
        <v>0.02</v>
      </c>
      <c r="K39" s="45">
        <f t="shared" ca="1" si="23"/>
        <v>0.02</v>
      </c>
    </row>
    <row r="40" spans="2:11" x14ac:dyDescent="0.35">
      <c r="B40" s="33" t="s">
        <v>9</v>
      </c>
      <c r="F40" s="46">
        <v>0.17</v>
      </c>
      <c r="G40" s="46">
        <v>0.02</v>
      </c>
      <c r="H40" s="46">
        <v>0.02</v>
      </c>
      <c r="I40" s="46">
        <v>0.02</v>
      </c>
      <c r="J40" s="46">
        <v>0.02</v>
      </c>
      <c r="K40" s="46">
        <v>0.02</v>
      </c>
    </row>
    <row r="41" spans="2:11" x14ac:dyDescent="0.35">
      <c r="B41" s="33" t="s">
        <v>11</v>
      </c>
      <c r="F41" s="46">
        <v>0.18</v>
      </c>
      <c r="G41" s="46">
        <v>2.5000000000000001E-2</v>
      </c>
      <c r="H41" s="46">
        <v>2.5000000000000001E-2</v>
      </c>
      <c r="I41" s="46">
        <v>2.5000000000000001E-2</v>
      </c>
      <c r="J41" s="46">
        <v>2.5000000000000001E-2</v>
      </c>
      <c r="K41" s="46">
        <v>2.5000000000000001E-2</v>
      </c>
    </row>
    <row r="42" spans="2:11" x14ac:dyDescent="0.35">
      <c r="B42" s="33" t="s">
        <v>12</v>
      </c>
      <c r="F42" s="46">
        <v>0.16</v>
      </c>
      <c r="G42" s="46">
        <v>1.7500000000000002E-2</v>
      </c>
      <c r="H42" s="46">
        <v>1.7500000000000002E-2</v>
      </c>
      <c r="I42" s="46">
        <v>1.7500000000000002E-2</v>
      </c>
      <c r="J42" s="46">
        <v>1.7500000000000002E-2</v>
      </c>
      <c r="K42" s="46">
        <v>1.7500000000000002E-2</v>
      </c>
    </row>
    <row r="44" spans="2:11" x14ac:dyDescent="0.35">
      <c r="B44" s="4" t="s">
        <v>81</v>
      </c>
      <c r="C44" s="51">
        <f>'Operating Build'!C17</f>
        <v>-39801</v>
      </c>
      <c r="D44" s="51">
        <f>'Operating Build'!D17</f>
        <v>-25487</v>
      </c>
      <c r="E44" s="51">
        <f>'Operating Build'!E17</f>
        <v>-50395</v>
      </c>
      <c r="F44" s="44">
        <f ca="1">-'Operating Build'!F14*Assumptions!F45</f>
        <v>-79207.037549999994</v>
      </c>
      <c r="G44" s="44">
        <f ca="1">-'Operating Build'!G14*Assumptions!G45</f>
        <v>-80911.972871999984</v>
      </c>
      <c r="H44" s="44">
        <f ca="1">-'Operating Build'!H14*Assumptions!H45</f>
        <v>-82654.903181609989</v>
      </c>
      <c r="I44" s="44">
        <f ca="1">-'Operating Build'!I14*Assumptions!I45</f>
        <v>-84436.7049225378</v>
      </c>
      <c r="J44" s="44">
        <f ca="1">-'Operating Build'!J14*Assumptions!J45</f>
        <v>-86258.275447738328</v>
      </c>
      <c r="K44" s="44">
        <f ca="1">-'Operating Build'!K14*Assumptions!K45</f>
        <v>-88120.533534501112</v>
      </c>
    </row>
    <row r="45" spans="2:11" x14ac:dyDescent="0.35">
      <c r="B45" s="32" t="s">
        <v>107</v>
      </c>
      <c r="C45" s="45">
        <f>-C44/'Operating Build'!C14</f>
        <v>0.73415970339217529</v>
      </c>
      <c r="D45" s="45">
        <f>-D44/'Operating Build'!D14</f>
        <v>0.65428454074036047</v>
      </c>
      <c r="E45" s="45">
        <f>-E44/'Operating Build'!E14</f>
        <v>0.74673640849348766</v>
      </c>
      <c r="F45" s="45">
        <f t="shared" ref="F45:K45" ca="1" si="24">+OFFSET(F45,$D$4,)</f>
        <v>0.85499999999999998</v>
      </c>
      <c r="G45" s="45">
        <f t="shared" ca="1" si="24"/>
        <v>0.85499999999999998</v>
      </c>
      <c r="H45" s="45">
        <f t="shared" ca="1" si="24"/>
        <v>0.85499999999999998</v>
      </c>
      <c r="I45" s="45">
        <f t="shared" ca="1" si="24"/>
        <v>0.85499999999999998</v>
      </c>
      <c r="J45" s="45">
        <f t="shared" ca="1" si="24"/>
        <v>0.85499999999999998</v>
      </c>
      <c r="K45" s="45">
        <f t="shared" ca="1" si="24"/>
        <v>0.85499999999999998</v>
      </c>
    </row>
    <row r="46" spans="2:11" x14ac:dyDescent="0.35">
      <c r="B46" s="33" t="s">
        <v>9</v>
      </c>
      <c r="F46" s="72">
        <v>0.85499999999999998</v>
      </c>
      <c r="G46" s="72">
        <v>0.85499999999999998</v>
      </c>
      <c r="H46" s="72">
        <v>0.85499999999999998</v>
      </c>
      <c r="I46" s="72">
        <v>0.85499999999999998</v>
      </c>
      <c r="J46" s="72">
        <v>0.85499999999999998</v>
      </c>
      <c r="K46" s="72">
        <v>0.85499999999999998</v>
      </c>
    </row>
    <row r="47" spans="2:11" x14ac:dyDescent="0.35">
      <c r="B47" s="33" t="s">
        <v>11</v>
      </c>
      <c r="F47" s="73">
        <v>0.85</v>
      </c>
      <c r="G47" s="73">
        <v>0.85</v>
      </c>
      <c r="H47" s="73">
        <v>0.85</v>
      </c>
      <c r="I47" s="73">
        <v>0.85</v>
      </c>
      <c r="J47" s="73">
        <v>0.85</v>
      </c>
      <c r="K47" s="73">
        <v>0.85</v>
      </c>
    </row>
    <row r="48" spans="2:11" x14ac:dyDescent="0.35">
      <c r="B48" s="33" t="s">
        <v>12</v>
      </c>
      <c r="F48" s="73">
        <v>0.86</v>
      </c>
      <c r="G48" s="73">
        <v>0.86</v>
      </c>
      <c r="H48" s="73">
        <v>0.86</v>
      </c>
      <c r="I48" s="73">
        <v>0.86</v>
      </c>
      <c r="J48" s="73">
        <v>0.86</v>
      </c>
      <c r="K48" s="73">
        <v>0.86</v>
      </c>
    </row>
    <row r="50" spans="2:11" x14ac:dyDescent="0.35">
      <c r="B50" s="4" t="s">
        <v>108</v>
      </c>
      <c r="C50" s="51">
        <f>'Operating Build'!C23</f>
        <v>-3294</v>
      </c>
      <c r="D50" s="51">
        <f>'Operating Build'!D23</f>
        <v>-3218</v>
      </c>
      <c r="E50" s="51">
        <f>'Operating Build'!E23</f>
        <v>-3574</v>
      </c>
      <c r="F50" s="44">
        <f ca="1">-F51*'Operating Build'!F14</f>
        <v>-6021.5876500000004</v>
      </c>
      <c r="G50" s="44">
        <f ca="1">-G51*'Operating Build'!G14</f>
        <v>-6151.2026159999996</v>
      </c>
      <c r="H50" s="44">
        <f ca="1">-H51*'Operating Build'!H14</f>
        <v>-6283.7060898299997</v>
      </c>
      <c r="I50" s="44">
        <f ca="1">-I51*'Operating Build'!I14</f>
        <v>-6419.1647017134001</v>
      </c>
      <c r="J50" s="44">
        <f ca="1">-J51*'Operating Build'!J14</f>
        <v>-6557.6466714654871</v>
      </c>
      <c r="K50" s="44">
        <f ca="1">-K51*'Operating Build'!K14</f>
        <v>-6699.2218476521311</v>
      </c>
    </row>
    <row r="51" spans="2:11" x14ac:dyDescent="0.35">
      <c r="B51" s="32" t="s">
        <v>107</v>
      </c>
      <c r="C51" s="45">
        <f>-C50/'Operating Build'!C14</f>
        <v>6.0760334237175584E-2</v>
      </c>
      <c r="D51" s="45">
        <f>-D50/'Operating Build'!D14</f>
        <v>8.2610258253324437E-2</v>
      </c>
      <c r="E51" s="45">
        <f>-E50/'Operating Build'!E14</f>
        <v>5.2958347533599064E-2</v>
      </c>
      <c r="F51" s="45">
        <f t="shared" ref="F51:K51" ca="1" si="25">+OFFSET(F51,$D$4,)</f>
        <v>6.5000000000000002E-2</v>
      </c>
      <c r="G51" s="45">
        <f t="shared" ca="1" si="25"/>
        <v>6.5000000000000002E-2</v>
      </c>
      <c r="H51" s="45">
        <f t="shared" ca="1" si="25"/>
        <v>6.5000000000000002E-2</v>
      </c>
      <c r="I51" s="45">
        <f t="shared" ca="1" si="25"/>
        <v>6.5000000000000002E-2</v>
      </c>
      <c r="J51" s="45">
        <f t="shared" ca="1" si="25"/>
        <v>6.5000000000000002E-2</v>
      </c>
      <c r="K51" s="45">
        <f t="shared" ca="1" si="25"/>
        <v>6.5000000000000002E-2</v>
      </c>
    </row>
    <row r="52" spans="2:11" x14ac:dyDescent="0.35">
      <c r="B52" s="33" t="s">
        <v>9</v>
      </c>
      <c r="F52" s="72">
        <v>6.5000000000000002E-2</v>
      </c>
      <c r="G52" s="72">
        <v>6.5000000000000002E-2</v>
      </c>
      <c r="H52" s="72">
        <v>6.5000000000000002E-2</v>
      </c>
      <c r="I52" s="72">
        <v>6.5000000000000002E-2</v>
      </c>
      <c r="J52" s="72">
        <v>6.5000000000000002E-2</v>
      </c>
      <c r="K52" s="72">
        <v>6.5000000000000002E-2</v>
      </c>
    </row>
    <row r="53" spans="2:11" x14ac:dyDescent="0.35">
      <c r="B53" s="33" t="s">
        <v>11</v>
      </c>
      <c r="F53" s="73">
        <v>0.06</v>
      </c>
      <c r="G53" s="74">
        <v>5.5E-2</v>
      </c>
      <c r="H53" s="74">
        <v>5.5E-2</v>
      </c>
      <c r="I53" s="74">
        <v>5.5E-2</v>
      </c>
      <c r="J53" s="74">
        <v>5.5E-2</v>
      </c>
      <c r="K53" s="74">
        <v>5.5E-2</v>
      </c>
    </row>
    <row r="54" spans="2:11" x14ac:dyDescent="0.35">
      <c r="B54" s="33" t="s">
        <v>12</v>
      </c>
      <c r="F54" s="73">
        <v>7.0000000000000007E-2</v>
      </c>
      <c r="G54" s="73">
        <v>7.0000000000000007E-2</v>
      </c>
      <c r="H54" s="73">
        <v>7.0000000000000007E-2</v>
      </c>
      <c r="I54" s="73">
        <v>7.0000000000000007E-2</v>
      </c>
      <c r="J54" s="73">
        <v>7.0000000000000007E-2</v>
      </c>
      <c r="K54" s="73">
        <v>7.0000000000000007E-2</v>
      </c>
    </row>
    <row r="56" spans="2:11" x14ac:dyDescent="0.35">
      <c r="B56" s="4" t="s">
        <v>85</v>
      </c>
      <c r="C56" s="51">
        <f>'Operating Build'!C24</f>
        <v>-694</v>
      </c>
      <c r="D56" s="51">
        <f>'Operating Build'!D24</f>
        <v>-711</v>
      </c>
      <c r="E56" s="51">
        <f>'Operating Build'!E24</f>
        <v>-818</v>
      </c>
      <c r="F56" s="44">
        <f ca="1">-F57*'Operating Build'!F14</f>
        <v>-1389.5971499999998</v>
      </c>
      <c r="G56" s="44">
        <f ca="1">-G57*'Operating Build'!G14</f>
        <v>-1419.5082959999997</v>
      </c>
      <c r="H56" s="44">
        <f ca="1">-H57*'Operating Build'!H14</f>
        <v>-1450.08602073</v>
      </c>
      <c r="I56" s="44">
        <f ca="1">-I57*'Operating Build'!I14</f>
        <v>-1481.3457003953999</v>
      </c>
      <c r="J56" s="44">
        <f ca="1">-J57*'Operating Build'!J14</f>
        <v>-1513.3030780304971</v>
      </c>
      <c r="K56" s="44">
        <f ca="1">-K57*'Operating Build'!K14</f>
        <v>-1545.9742725351073</v>
      </c>
    </row>
    <row r="57" spans="2:11" x14ac:dyDescent="0.35">
      <c r="B57" s="32" t="s">
        <v>109</v>
      </c>
      <c r="C57" s="45">
        <f>-C56/'Operating Build'!C14</f>
        <v>1.2801357607953812E-2</v>
      </c>
      <c r="D57" s="45">
        <f>-D56/'Operating Build'!D14</f>
        <v>1.8252297581763104E-2</v>
      </c>
      <c r="E57" s="45">
        <f>-E56/'Operating Build'!E14</f>
        <v>1.2120852905003927E-2</v>
      </c>
      <c r="F57" s="45">
        <f t="shared" ref="F57:K57" ca="1" si="26">+OFFSET(F57,$D$4,)</f>
        <v>1.4999999999999999E-2</v>
      </c>
      <c r="G57" s="45">
        <f t="shared" ca="1" si="26"/>
        <v>1.4999999999999999E-2</v>
      </c>
      <c r="H57" s="45">
        <f t="shared" ca="1" si="26"/>
        <v>1.4999999999999999E-2</v>
      </c>
      <c r="I57" s="45">
        <f t="shared" ca="1" si="26"/>
        <v>1.4999999999999999E-2</v>
      </c>
      <c r="J57" s="45">
        <f t="shared" ca="1" si="26"/>
        <v>1.4999999999999999E-2</v>
      </c>
      <c r="K57" s="45">
        <f t="shared" ca="1" si="26"/>
        <v>1.4999999999999999E-2</v>
      </c>
    </row>
    <row r="58" spans="2:11" x14ac:dyDescent="0.35">
      <c r="B58" s="33" t="s">
        <v>9</v>
      </c>
      <c r="F58" s="46">
        <v>1.4999999999999999E-2</v>
      </c>
      <c r="G58" s="46">
        <v>1.4999999999999999E-2</v>
      </c>
      <c r="H58" s="46">
        <v>1.4999999999999999E-2</v>
      </c>
      <c r="I58" s="46">
        <v>1.4999999999999999E-2</v>
      </c>
      <c r="J58" s="46">
        <v>1.4999999999999999E-2</v>
      </c>
      <c r="K58" s="46">
        <v>1.4999999999999999E-2</v>
      </c>
    </row>
    <row r="59" spans="2:11" x14ac:dyDescent="0.35">
      <c r="B59" s="33" t="s">
        <v>11</v>
      </c>
      <c r="F59" s="46">
        <v>1.2E-2</v>
      </c>
      <c r="G59" s="46">
        <v>1.2E-2</v>
      </c>
      <c r="H59" s="46">
        <v>1.2E-2</v>
      </c>
      <c r="I59" s="46">
        <v>1.2E-2</v>
      </c>
      <c r="J59" s="46">
        <v>1.2E-2</v>
      </c>
      <c r="K59" s="46">
        <v>1.2E-2</v>
      </c>
    </row>
    <row r="60" spans="2:11" x14ac:dyDescent="0.35">
      <c r="B60" s="33" t="s">
        <v>12</v>
      </c>
      <c r="F60" s="46">
        <f t="shared" ref="F60:K60" si="27">0.018</f>
        <v>1.7999999999999999E-2</v>
      </c>
      <c r="G60" s="46">
        <f t="shared" si="27"/>
        <v>1.7999999999999999E-2</v>
      </c>
      <c r="H60" s="46">
        <f t="shared" si="27"/>
        <v>1.7999999999999999E-2</v>
      </c>
      <c r="I60" s="46">
        <f t="shared" si="27"/>
        <v>1.7999999999999999E-2</v>
      </c>
      <c r="J60" s="46">
        <f t="shared" si="27"/>
        <v>1.7999999999999999E-2</v>
      </c>
      <c r="K60" s="46">
        <f t="shared" si="27"/>
        <v>1.7999999999999999E-2</v>
      </c>
    </row>
    <row r="62" spans="2:11" x14ac:dyDescent="0.35">
      <c r="B62" s="4" t="s">
        <v>110</v>
      </c>
      <c r="C62" s="51">
        <f>+'Operating Build'!C30</f>
        <v>3147</v>
      </c>
      <c r="D62" s="51">
        <f>+'Operating Build'!D30</f>
        <v>3678</v>
      </c>
      <c r="E62" s="51">
        <f>+'Operating Build'!E30</f>
        <v>3817</v>
      </c>
      <c r="F62" s="44">
        <f ca="1">+F63*-'Operating Build'!F41</f>
        <v>2676.1026000000002</v>
      </c>
      <c r="G62" s="44">
        <f ca="1">+G63*-'Operating Build'!G41</f>
        <v>2916.951834</v>
      </c>
      <c r="H62" s="44">
        <f ca="1">+H63*-'Operating Build'!H41</f>
        <v>3179.4774990600004</v>
      </c>
      <c r="I62" s="44">
        <f ca="1">+I63*-'Operating Build'!I41</f>
        <v>3465.6304739754005</v>
      </c>
      <c r="J62" s="44">
        <f ca="1">+J63*-'Operating Build'!J41</f>
        <v>3777.5372166331872</v>
      </c>
      <c r="K62" s="44">
        <f ca="1">+K63*-'Operating Build'!K41</f>
        <v>4117.5155661301742</v>
      </c>
    </row>
    <row r="63" spans="2:11" x14ac:dyDescent="0.35">
      <c r="B63" s="32" t="s">
        <v>111</v>
      </c>
      <c r="C63" s="45">
        <f>+C62/-'Operating Build'!C41</f>
        <v>0.52802013422818794</v>
      </c>
      <c r="D63" s="45">
        <f>+D62/-'Operating Build'!D41</f>
        <v>0.71695906432748535</v>
      </c>
      <c r="E63" s="45">
        <f>+E62/-'Operating Build'!E41</f>
        <v>1.3525868178596741</v>
      </c>
      <c r="F63" s="45">
        <f t="shared" ref="F63:K63" ca="1" si="28">+OFFSET(F63,$D$4,)</f>
        <v>0.87</v>
      </c>
      <c r="G63" s="45">
        <f t="shared" ca="1" si="28"/>
        <v>0.87</v>
      </c>
      <c r="H63" s="45">
        <f t="shared" ca="1" si="28"/>
        <v>0.87</v>
      </c>
      <c r="I63" s="45">
        <f t="shared" ca="1" si="28"/>
        <v>0.87</v>
      </c>
      <c r="J63" s="45">
        <f t="shared" ca="1" si="28"/>
        <v>0.87</v>
      </c>
      <c r="K63" s="45">
        <f t="shared" ca="1" si="28"/>
        <v>0.87</v>
      </c>
    </row>
    <row r="64" spans="2:11" x14ac:dyDescent="0.35">
      <c r="B64" s="33" t="s">
        <v>9</v>
      </c>
      <c r="F64" s="46">
        <v>0.87</v>
      </c>
      <c r="G64" s="46">
        <v>0.87</v>
      </c>
      <c r="H64" s="46">
        <v>0.87</v>
      </c>
      <c r="I64" s="46">
        <v>0.87</v>
      </c>
      <c r="J64" s="46">
        <v>0.87</v>
      </c>
      <c r="K64" s="46">
        <v>0.87</v>
      </c>
    </row>
    <row r="65" spans="2:11" x14ac:dyDescent="0.35">
      <c r="B65" s="33" t="s">
        <v>11</v>
      </c>
      <c r="F65" s="46">
        <v>0.87</v>
      </c>
      <c r="G65" s="46">
        <v>0.87</v>
      </c>
      <c r="H65" s="46">
        <v>0.87</v>
      </c>
      <c r="I65" s="46">
        <v>0.87</v>
      </c>
      <c r="J65" s="46">
        <v>0.87</v>
      </c>
      <c r="K65" s="46">
        <v>0.87</v>
      </c>
    </row>
    <row r="66" spans="2:11" x14ac:dyDescent="0.35">
      <c r="B66" s="33" t="s">
        <v>12</v>
      </c>
      <c r="F66" s="46">
        <v>0.87</v>
      </c>
      <c r="G66" s="46">
        <v>0.87</v>
      </c>
      <c r="H66" s="46">
        <v>0.87</v>
      </c>
      <c r="I66" s="46">
        <v>0.87</v>
      </c>
      <c r="J66" s="46">
        <v>0.87</v>
      </c>
      <c r="K66" s="46">
        <v>0.87</v>
      </c>
    </row>
    <row r="68" spans="2:11" x14ac:dyDescent="0.35">
      <c r="B68" s="4" t="s">
        <v>112</v>
      </c>
      <c r="C68" s="51">
        <f>+'Operating Build'!C35</f>
        <v>-2183</v>
      </c>
      <c r="D68" s="51">
        <f>+'Operating Build'!D35</f>
        <v>-2603</v>
      </c>
      <c r="E68" s="51">
        <f>+'Operating Build'!E35</f>
        <v>-1921</v>
      </c>
      <c r="F68" s="44">
        <f ca="1">+E68*(1+F69)</f>
        <v>-2113.1000000000004</v>
      </c>
      <c r="G68" s="44">
        <f t="shared" ref="G68:K68" ca="1" si="29">+F68*(1+G69)</f>
        <v>-2324.4100000000008</v>
      </c>
      <c r="H68" s="44">
        <f t="shared" ca="1" si="29"/>
        <v>-2556.851000000001</v>
      </c>
      <c r="I68" s="44">
        <f t="shared" ca="1" si="29"/>
        <v>-2812.5361000000012</v>
      </c>
      <c r="J68" s="44">
        <f t="shared" ca="1" si="29"/>
        <v>-3093.7897100000014</v>
      </c>
      <c r="K68" s="44">
        <f t="shared" ca="1" si="29"/>
        <v>-3403.1686810000019</v>
      </c>
    </row>
    <row r="69" spans="2:11" x14ac:dyDescent="0.35">
      <c r="B69" s="32" t="s">
        <v>113</v>
      </c>
      <c r="C69" s="45"/>
      <c r="D69" s="45">
        <f>+D68/C68-1</f>
        <v>0.19239578561612469</v>
      </c>
      <c r="E69" s="45">
        <f>+E68/D68-1</f>
        <v>-0.26200537840952742</v>
      </c>
      <c r="F69" s="45">
        <f t="shared" ref="F69:K69" ca="1" si="30">+OFFSET(F69,$D$4,)</f>
        <v>0.1</v>
      </c>
      <c r="G69" s="45">
        <f t="shared" ca="1" si="30"/>
        <v>0.1</v>
      </c>
      <c r="H69" s="45">
        <f t="shared" ca="1" si="30"/>
        <v>0.1</v>
      </c>
      <c r="I69" s="45">
        <f t="shared" ca="1" si="30"/>
        <v>0.1</v>
      </c>
      <c r="J69" s="45">
        <f t="shared" ca="1" si="30"/>
        <v>0.1</v>
      </c>
      <c r="K69" s="45">
        <f t="shared" ca="1" si="30"/>
        <v>0.1</v>
      </c>
    </row>
    <row r="70" spans="2:11" x14ac:dyDescent="0.35">
      <c r="B70" s="33" t="s">
        <v>9</v>
      </c>
      <c r="F70" s="46">
        <v>0.1</v>
      </c>
      <c r="G70" s="46">
        <v>0.1</v>
      </c>
      <c r="H70" s="46">
        <v>0.1</v>
      </c>
      <c r="I70" s="46">
        <v>0.1</v>
      </c>
      <c r="J70" s="46">
        <v>0.1</v>
      </c>
      <c r="K70" s="46">
        <v>0.1</v>
      </c>
    </row>
    <row r="71" spans="2:11" x14ac:dyDescent="0.35">
      <c r="B71" s="33" t="s">
        <v>11</v>
      </c>
      <c r="F71" s="46">
        <v>0.1</v>
      </c>
      <c r="G71" s="46">
        <v>0.1</v>
      </c>
      <c r="H71" s="46">
        <v>0.1</v>
      </c>
      <c r="I71" s="46">
        <v>0.1</v>
      </c>
      <c r="J71" s="46">
        <v>0.1</v>
      </c>
      <c r="K71" s="46">
        <v>0.1</v>
      </c>
    </row>
    <row r="72" spans="2:11" x14ac:dyDescent="0.35">
      <c r="B72" s="33" t="s">
        <v>12</v>
      </c>
      <c r="F72" s="46">
        <v>0.1</v>
      </c>
      <c r="G72" s="46">
        <v>0.1</v>
      </c>
      <c r="H72" s="46">
        <v>0.1</v>
      </c>
      <c r="I72" s="46">
        <v>0.1</v>
      </c>
      <c r="J72" s="46">
        <v>0.1</v>
      </c>
      <c r="K72" s="46">
        <v>0.1</v>
      </c>
    </row>
    <row r="74" spans="2:11" x14ac:dyDescent="0.35">
      <c r="B74" s="4" t="s">
        <v>114</v>
      </c>
      <c r="C74" s="51">
        <f>+'Operating Build'!C36</f>
        <v>195</v>
      </c>
      <c r="D74" s="51">
        <f>+'Operating Build'!D36</f>
        <v>237</v>
      </c>
      <c r="E74" s="51">
        <f>+'Operating Build'!E36</f>
        <v>184</v>
      </c>
      <c r="F74" s="44">
        <f ca="1">F75*('Operating Build'!F27+'Operating Build'!F35)</f>
        <v>97.712191250000103</v>
      </c>
      <c r="G74" s="44">
        <f ca="1">G75*('Operating Build'!G27+'Operating Build'!G35)</f>
        <v>95.669815400000118</v>
      </c>
      <c r="H74" s="44">
        <f ca="1">H75*('Operating Build'!H27+'Operating Build'!H35)</f>
        <v>93.171377245750179</v>
      </c>
      <c r="I74" s="44">
        <f ca="1">I75*('Operating Build'!I27+'Operating Build'!I35)</f>
        <v>90.165715042834961</v>
      </c>
      <c r="J74" s="44">
        <f ca="1">J75*('Operating Build'!J27+'Operating Build'!J35)</f>
        <v>86.596424036637259</v>
      </c>
      <c r="K74" s="44">
        <f ca="1">K75*('Operating Build'!K27+'Operating Build'!K35)</f>
        <v>82.401329166303256</v>
      </c>
    </row>
    <row r="75" spans="2:11" x14ac:dyDescent="0.35">
      <c r="B75" s="32" t="s">
        <v>39</v>
      </c>
      <c r="C75" s="45">
        <f>+C74/('Operating Build'!C27+'Operating Build'!C35)</f>
        <v>2.3662176920276664E-2</v>
      </c>
      <c r="D75" s="45">
        <f>+D74/('Operating Build'!D27+'Operating Build'!D35)</f>
        <v>3.4174477289113193E-2</v>
      </c>
      <c r="E75" s="45">
        <f>+E74/('Operating Build'!E27+'Operating Build'!E35)</f>
        <v>1.7070229149271733E-2</v>
      </c>
      <c r="F75" s="45">
        <f t="shared" ref="F75:K75" ca="1" si="31">+OFFSET(F75,$D$4,)</f>
        <v>2.5000000000000001E-2</v>
      </c>
      <c r="G75" s="45">
        <f t="shared" ca="1" si="31"/>
        <v>2.5000000000000001E-2</v>
      </c>
      <c r="H75" s="45">
        <f t="shared" ca="1" si="31"/>
        <v>2.5000000000000001E-2</v>
      </c>
      <c r="I75" s="45">
        <f t="shared" ca="1" si="31"/>
        <v>2.5000000000000001E-2</v>
      </c>
      <c r="J75" s="45">
        <f t="shared" ca="1" si="31"/>
        <v>2.5000000000000001E-2</v>
      </c>
      <c r="K75" s="45">
        <f t="shared" ca="1" si="31"/>
        <v>2.5000000000000001E-2</v>
      </c>
    </row>
    <row r="76" spans="2:11" x14ac:dyDescent="0.35">
      <c r="B76" s="33" t="s">
        <v>9</v>
      </c>
      <c r="F76" s="46">
        <v>2.5000000000000001E-2</v>
      </c>
      <c r="G76" s="46">
        <v>2.5000000000000001E-2</v>
      </c>
      <c r="H76" s="46">
        <v>2.5000000000000001E-2</v>
      </c>
      <c r="I76" s="46">
        <v>2.5000000000000001E-2</v>
      </c>
      <c r="J76" s="46">
        <v>2.5000000000000001E-2</v>
      </c>
      <c r="K76" s="46">
        <v>2.5000000000000001E-2</v>
      </c>
    </row>
    <row r="77" spans="2:11" x14ac:dyDescent="0.35">
      <c r="B77" s="33" t="s">
        <v>11</v>
      </c>
      <c r="F77" s="46">
        <v>2.5000000000000001E-2</v>
      </c>
      <c r="G77" s="46">
        <v>2.5000000000000001E-2</v>
      </c>
      <c r="H77" s="46">
        <v>2.5000000000000001E-2</v>
      </c>
      <c r="I77" s="46">
        <v>2.5000000000000001E-2</v>
      </c>
      <c r="J77" s="46">
        <v>2.5000000000000001E-2</v>
      </c>
      <c r="K77" s="46">
        <v>2.5000000000000001E-2</v>
      </c>
    </row>
    <row r="78" spans="2:11" x14ac:dyDescent="0.35">
      <c r="B78" s="33" t="s">
        <v>12</v>
      </c>
      <c r="F78" s="46">
        <v>2.5000000000000001E-2</v>
      </c>
      <c r="G78" s="46">
        <v>2.5000000000000001E-2</v>
      </c>
      <c r="H78" s="46">
        <v>2.5000000000000001E-2</v>
      </c>
      <c r="I78" s="46">
        <v>2.5000000000000001E-2</v>
      </c>
      <c r="J78" s="46">
        <v>2.5000000000000001E-2</v>
      </c>
      <c r="K78" s="46">
        <v>2.5000000000000001E-2</v>
      </c>
    </row>
    <row r="80" spans="2:11" x14ac:dyDescent="0.35">
      <c r="B80" s="4" t="s">
        <v>115</v>
      </c>
      <c r="C80" s="51">
        <f>+'Operating Build'!C41</f>
        <v>-5960</v>
      </c>
      <c r="D80" s="51">
        <f>+'Operating Build'!D41</f>
        <v>-5130</v>
      </c>
      <c r="E80" s="51">
        <f>+'Operating Build'!E41</f>
        <v>-2822</v>
      </c>
      <c r="F80" s="44">
        <f t="shared" ref="F80:K80" ca="1" si="32">E80*(1+F81)</f>
        <v>-3075.98</v>
      </c>
      <c r="G80" s="44">
        <f t="shared" ca="1" si="32"/>
        <v>-3352.8182000000002</v>
      </c>
      <c r="H80" s="44">
        <f t="shared" ca="1" si="32"/>
        <v>-3654.5718380000003</v>
      </c>
      <c r="I80" s="44">
        <f t="shared" ca="1" si="32"/>
        <v>-3983.4833034200005</v>
      </c>
      <c r="J80" s="44">
        <f t="shared" ca="1" si="32"/>
        <v>-4341.9968007278012</v>
      </c>
      <c r="K80" s="44">
        <f t="shared" ca="1" si="32"/>
        <v>-4732.7765127933035</v>
      </c>
    </row>
    <row r="81" spans="2:11" x14ac:dyDescent="0.35">
      <c r="B81" s="32" t="s">
        <v>109</v>
      </c>
      <c r="C81" s="45">
        <f>-C80/'Operating Build'!C14</f>
        <v>0.10993673104236991</v>
      </c>
      <c r="D81" s="45">
        <f>-D80/'Operating Build'!D14</f>
        <v>0.13169379267854392</v>
      </c>
      <c r="E81" s="45">
        <f>-E80/'Operating Build'!E14</f>
        <v>4.1815460755404744E-2</v>
      </c>
      <c r="F81" s="45">
        <f t="shared" ref="F81:K81" ca="1" si="33">+OFFSET(F81,$D$4,)</f>
        <v>0.09</v>
      </c>
      <c r="G81" s="45">
        <f t="shared" ca="1" si="33"/>
        <v>0.09</v>
      </c>
      <c r="H81" s="45">
        <f t="shared" ca="1" si="33"/>
        <v>0.09</v>
      </c>
      <c r="I81" s="45">
        <f t="shared" ca="1" si="33"/>
        <v>0.09</v>
      </c>
      <c r="J81" s="45">
        <f t="shared" ca="1" si="33"/>
        <v>0.09</v>
      </c>
      <c r="K81" s="45">
        <f t="shared" ca="1" si="33"/>
        <v>0.09</v>
      </c>
    </row>
    <row r="82" spans="2:11" x14ac:dyDescent="0.35">
      <c r="B82" s="33" t="s">
        <v>9</v>
      </c>
      <c r="F82" s="46">
        <v>0.09</v>
      </c>
      <c r="G82" s="46">
        <v>0.09</v>
      </c>
      <c r="H82" s="46">
        <v>0.09</v>
      </c>
      <c r="I82" s="46">
        <v>0.09</v>
      </c>
      <c r="J82" s="46">
        <v>0.09</v>
      </c>
      <c r="K82" s="46">
        <v>0.09</v>
      </c>
    </row>
    <row r="83" spans="2:11" x14ac:dyDescent="0.35">
      <c r="B83" s="33" t="s">
        <v>11</v>
      </c>
      <c r="F83" s="46">
        <v>7.0000000000000007E-2</v>
      </c>
      <c r="G83" s="46">
        <v>7.0000000000000007E-2</v>
      </c>
      <c r="H83" s="46">
        <v>7.0000000000000007E-2</v>
      </c>
      <c r="I83" s="46">
        <v>7.0000000000000007E-2</v>
      </c>
      <c r="J83" s="46">
        <v>7.0000000000000007E-2</v>
      </c>
      <c r="K83" s="46">
        <v>7.0000000000000007E-2</v>
      </c>
    </row>
    <row r="84" spans="2:11" x14ac:dyDescent="0.35">
      <c r="B84" s="33" t="s">
        <v>12</v>
      </c>
      <c r="F84" s="46">
        <v>0.11</v>
      </c>
      <c r="G84" s="46">
        <v>0.11</v>
      </c>
      <c r="H84" s="46">
        <v>0.11</v>
      </c>
      <c r="I84" s="46">
        <v>0.11</v>
      </c>
      <c r="J84" s="46">
        <v>0.11</v>
      </c>
      <c r="K84" s="46">
        <v>0.11</v>
      </c>
    </row>
    <row r="86" spans="2:11" x14ac:dyDescent="0.35">
      <c r="B86" s="4" t="s">
        <v>116</v>
      </c>
      <c r="C86" s="51">
        <f>+'Operating Build'!C43</f>
        <v>5197</v>
      </c>
      <c r="D86" s="51">
        <f>+'Operating Build'!D43</f>
        <v>3954</v>
      </c>
      <c r="E86" s="51">
        <f>+'Operating Build'!E43</f>
        <v>7708</v>
      </c>
      <c r="F86" s="44">
        <f ca="1">+(F87*'Operating Build'!F14)/365</f>
        <v>9644.6925479452057</v>
      </c>
      <c r="G86" s="44">
        <f ca="1">+(G87*'Operating Build'!G14)/365</f>
        <v>9852.2950224657525</v>
      </c>
      <c r="H86" s="44">
        <f ca="1">+(H87*'Operating Build'!H14)/365</f>
        <v>10064.523979495891</v>
      </c>
      <c r="I86" s="44">
        <f ca="1">+(I87*'Operating Build'!I14)/365</f>
        <v>10281.486139730629</v>
      </c>
      <c r="J86" s="44">
        <f ca="1">+(J87*'Operating Build'!J14)/365</f>
        <v>10503.290769892033</v>
      </c>
      <c r="K86" s="44">
        <f ca="1">+(K87*'Operating Build'!K14)/365</f>
        <v>10730.049745449145</v>
      </c>
    </row>
    <row r="87" spans="2:11" x14ac:dyDescent="0.35">
      <c r="B87" s="32" t="s">
        <v>117</v>
      </c>
      <c r="C87" s="53">
        <f>+(C86/'Operating Build'!C14)*365</f>
        <v>34.989854831866893</v>
      </c>
      <c r="D87" s="53">
        <f>+(D86/'Operating Build'!D14)*365</f>
        <v>37.049083534425222</v>
      </c>
      <c r="E87" s="53">
        <f>+(E86/'Operating Build'!E14)*365</f>
        <v>41.688325158919497</v>
      </c>
      <c r="F87" s="53">
        <f t="shared" ref="F87:K87" ca="1" si="34">+OFFSET(F87,$D$4,)</f>
        <v>38</v>
      </c>
      <c r="G87" s="53">
        <f t="shared" ca="1" si="34"/>
        <v>38</v>
      </c>
      <c r="H87" s="53">
        <f t="shared" ca="1" si="34"/>
        <v>38</v>
      </c>
      <c r="I87" s="53">
        <f t="shared" ca="1" si="34"/>
        <v>38</v>
      </c>
      <c r="J87" s="53">
        <f t="shared" ca="1" si="34"/>
        <v>38</v>
      </c>
      <c r="K87" s="53">
        <f t="shared" ca="1" si="34"/>
        <v>38</v>
      </c>
    </row>
    <row r="88" spans="2:11" x14ac:dyDescent="0.35">
      <c r="B88" s="33" t="s">
        <v>9</v>
      </c>
      <c r="F88" s="54">
        <v>38</v>
      </c>
      <c r="G88" s="54">
        <v>38</v>
      </c>
      <c r="H88" s="54">
        <v>38</v>
      </c>
      <c r="I88" s="54">
        <v>38</v>
      </c>
      <c r="J88" s="54">
        <v>38</v>
      </c>
      <c r="K88" s="54">
        <v>38</v>
      </c>
    </row>
    <row r="89" spans="2:11" x14ac:dyDescent="0.35">
      <c r="B89" s="33" t="s">
        <v>11</v>
      </c>
      <c r="F89" s="54">
        <v>34</v>
      </c>
      <c r="G89" s="54">
        <v>34</v>
      </c>
      <c r="H89" s="54">
        <v>34</v>
      </c>
      <c r="I89" s="54">
        <v>34</v>
      </c>
      <c r="J89" s="54">
        <v>34</v>
      </c>
      <c r="K89" s="54">
        <v>34</v>
      </c>
    </row>
    <row r="90" spans="2:11" x14ac:dyDescent="0.35">
      <c r="B90" s="33" t="s">
        <v>12</v>
      </c>
      <c r="F90" s="54">
        <v>42</v>
      </c>
      <c r="G90" s="54">
        <v>42</v>
      </c>
      <c r="H90" s="54">
        <v>42</v>
      </c>
      <c r="I90" s="54">
        <v>42</v>
      </c>
      <c r="J90" s="54">
        <v>42</v>
      </c>
      <c r="K90" s="54">
        <v>42</v>
      </c>
    </row>
    <row r="92" spans="2:11" x14ac:dyDescent="0.35">
      <c r="B92" s="4" t="s">
        <v>118</v>
      </c>
      <c r="C92" s="51">
        <f>+'Operating Build'!C44</f>
        <v>1532</v>
      </c>
      <c r="D92" s="51">
        <f>+'Operating Build'!D44</f>
        <v>1739</v>
      </c>
      <c r="E92" s="51">
        <f>+'Operating Build'!E44</f>
        <v>2014</v>
      </c>
      <c r="F92" s="44">
        <f ca="1">-(F93*'Operating Build'!F18)/365</f>
        <v>3906.1004819178079</v>
      </c>
      <c r="G92" s="44">
        <f ca="1">-(G93*'Operating Build'!G18)/365</f>
        <v>3990.179484098629</v>
      </c>
      <c r="H92" s="44">
        <f ca="1">-(H93*'Operating Build'!H18)/365</f>
        <v>4076.1322116958349</v>
      </c>
      <c r="I92" s="44">
        <f ca="1">-(I93*'Operating Build'!I18)/365</f>
        <v>4164.0018865909051</v>
      </c>
      <c r="J92" s="44">
        <f ca="1">-(J93*'Operating Build'!J18)/365</f>
        <v>4253.832761806274</v>
      </c>
      <c r="K92" s="44">
        <f ca="1">-(K93*'Operating Build'!K18)/365</f>
        <v>4345.6701469069039</v>
      </c>
    </row>
    <row r="93" spans="2:11" x14ac:dyDescent="0.35">
      <c r="B93" s="32" t="s">
        <v>119</v>
      </c>
      <c r="C93" s="53">
        <f>-(C92/'Operating Build'!C18)*365</f>
        <v>14.049395743825533</v>
      </c>
      <c r="D93" s="53">
        <f>-(D92/'Operating Build'!D18)*365</f>
        <v>24.904264919370661</v>
      </c>
      <c r="E93" s="53">
        <f>-(E92/'Operating Build'!E18)*365</f>
        <v>14.586962992360354</v>
      </c>
      <c r="F93" s="53">
        <f t="shared" ref="F93:K93" ca="1" si="35">+OFFSET(F93,$D$4,)</f>
        <v>18</v>
      </c>
      <c r="G93" s="53">
        <f t="shared" ca="1" si="35"/>
        <v>18</v>
      </c>
      <c r="H93" s="53">
        <f t="shared" ca="1" si="35"/>
        <v>18</v>
      </c>
      <c r="I93" s="53">
        <f t="shared" ca="1" si="35"/>
        <v>18</v>
      </c>
      <c r="J93" s="53">
        <f t="shared" ca="1" si="35"/>
        <v>18</v>
      </c>
      <c r="K93" s="53">
        <f t="shared" ca="1" si="35"/>
        <v>18</v>
      </c>
    </row>
    <row r="94" spans="2:11" x14ac:dyDescent="0.35">
      <c r="B94" s="33" t="s">
        <v>9</v>
      </c>
      <c r="F94" s="54">
        <v>18</v>
      </c>
      <c r="G94" s="54">
        <v>18</v>
      </c>
      <c r="H94" s="54">
        <v>18</v>
      </c>
      <c r="I94" s="54">
        <v>18</v>
      </c>
      <c r="J94" s="54">
        <v>18</v>
      </c>
      <c r="K94" s="54">
        <v>18</v>
      </c>
    </row>
    <row r="95" spans="2:11" x14ac:dyDescent="0.35">
      <c r="B95" s="33" t="s">
        <v>11</v>
      </c>
      <c r="F95" s="54">
        <v>16</v>
      </c>
      <c r="G95" s="54">
        <v>16</v>
      </c>
      <c r="H95" s="54">
        <v>16</v>
      </c>
      <c r="I95" s="54">
        <v>16</v>
      </c>
      <c r="J95" s="54">
        <v>16</v>
      </c>
      <c r="K95" s="54">
        <v>16</v>
      </c>
    </row>
    <row r="96" spans="2:11" x14ac:dyDescent="0.35">
      <c r="B96" s="33" t="s">
        <v>12</v>
      </c>
      <c r="F96" s="54">
        <v>20</v>
      </c>
      <c r="G96" s="54">
        <v>20</v>
      </c>
      <c r="H96" s="54">
        <v>20</v>
      </c>
      <c r="I96" s="54">
        <v>20</v>
      </c>
      <c r="J96" s="54">
        <v>20</v>
      </c>
      <c r="K96" s="54">
        <v>20</v>
      </c>
    </row>
    <row r="98" spans="2:11" x14ac:dyDescent="0.35">
      <c r="B98" s="4" t="s">
        <v>120</v>
      </c>
      <c r="C98" s="51">
        <f>'Operating Build'!C45</f>
        <v>146</v>
      </c>
      <c r="D98" s="51">
        <f>'Operating Build'!D45</f>
        <v>35</v>
      </c>
      <c r="E98" s="51">
        <f>'Operating Build'!E45</f>
        <v>32</v>
      </c>
      <c r="F98" s="44">
        <f t="shared" ref="F98:K98" ca="1" si="36">E98*(1+F99)</f>
        <v>32.048000000000002</v>
      </c>
      <c r="G98" s="44">
        <f t="shared" ca="1" si="36"/>
        <v>32.096072000000007</v>
      </c>
      <c r="H98" s="44">
        <f t="shared" ca="1" si="36"/>
        <v>32.144216108000009</v>
      </c>
      <c r="I98" s="44">
        <f t="shared" ca="1" si="36"/>
        <v>32.192432432162008</v>
      </c>
      <c r="J98" s="44">
        <f t="shared" ca="1" si="36"/>
        <v>32.240721080810253</v>
      </c>
      <c r="K98" s="44">
        <f t="shared" ca="1" si="36"/>
        <v>32.28908216243147</v>
      </c>
    </row>
    <row r="99" spans="2:11" x14ac:dyDescent="0.35">
      <c r="B99" s="32" t="s">
        <v>109</v>
      </c>
      <c r="C99" s="45">
        <f>+C98/'Operating Build'!C14</f>
        <v>2.6930809953332226E-3</v>
      </c>
      <c r="D99" s="79">
        <f>+D98/'Operating Build'!D14</f>
        <v>8.9849566154951994E-4</v>
      </c>
      <c r="E99" s="79">
        <f>+E98/'Operating Build'!E14</f>
        <v>4.741653948167795E-4</v>
      </c>
      <c r="F99" s="45">
        <f t="shared" ref="F99:K99" ca="1" si="37">+OFFSET(F99,$D$4,)</f>
        <v>1.5E-3</v>
      </c>
      <c r="G99" s="45">
        <f t="shared" ca="1" si="37"/>
        <v>1.5E-3</v>
      </c>
      <c r="H99" s="45">
        <f t="shared" ca="1" si="37"/>
        <v>1.5E-3</v>
      </c>
      <c r="I99" s="45">
        <f t="shared" ca="1" si="37"/>
        <v>1.5E-3</v>
      </c>
      <c r="J99" s="45">
        <f t="shared" ca="1" si="37"/>
        <v>1.5E-3</v>
      </c>
      <c r="K99" s="45">
        <f t="shared" ca="1" si="37"/>
        <v>1.5E-3</v>
      </c>
    </row>
    <row r="100" spans="2:11" x14ac:dyDescent="0.35">
      <c r="B100" s="33" t="s">
        <v>9</v>
      </c>
      <c r="F100" s="46">
        <v>1.5E-3</v>
      </c>
      <c r="G100" s="46">
        <v>1.5E-3</v>
      </c>
      <c r="H100" s="46">
        <v>1.5E-3</v>
      </c>
      <c r="I100" s="46">
        <v>1.5E-3</v>
      </c>
      <c r="J100" s="46">
        <v>1.5E-3</v>
      </c>
      <c r="K100" s="46">
        <v>1.5E-3</v>
      </c>
    </row>
    <row r="101" spans="2:11" x14ac:dyDescent="0.35">
      <c r="B101" s="33" t="s">
        <v>11</v>
      </c>
      <c r="F101" s="46">
        <v>1.5E-3</v>
      </c>
      <c r="G101" s="46">
        <v>1.5E-3</v>
      </c>
      <c r="H101" s="46">
        <v>1.5E-3</v>
      </c>
      <c r="I101" s="46">
        <v>1.5E-3</v>
      </c>
      <c r="J101" s="46">
        <v>1.5E-3</v>
      </c>
      <c r="K101" s="46">
        <v>1.5E-3</v>
      </c>
    </row>
    <row r="102" spans="2:11" x14ac:dyDescent="0.35">
      <c r="B102" s="33" t="s">
        <v>12</v>
      </c>
      <c r="F102" s="46">
        <v>1.5E-3</v>
      </c>
      <c r="G102" s="46">
        <v>1.5E-3</v>
      </c>
      <c r="H102" s="46">
        <v>1.5E-3</v>
      </c>
      <c r="I102" s="46">
        <v>1.5E-3</v>
      </c>
      <c r="J102" s="46">
        <v>1.5E-3</v>
      </c>
      <c r="K102" s="46">
        <v>1.5E-3</v>
      </c>
    </row>
    <row r="104" spans="2:11" x14ac:dyDescent="0.35">
      <c r="B104" s="4" t="s">
        <v>96</v>
      </c>
      <c r="C104" s="51">
        <f>'Operating Build'!C46</f>
        <v>23</v>
      </c>
      <c r="D104" s="51">
        <f>'Operating Build'!D46</f>
        <v>9</v>
      </c>
      <c r="E104" s="51">
        <f>'Operating Build'!E46</f>
        <v>10</v>
      </c>
      <c r="F104" s="44">
        <f t="shared" ref="F104:K104" ca="1" si="38">E104*(1+F105)</f>
        <v>10.0023</v>
      </c>
      <c r="G104" s="44">
        <f t="shared" ca="1" si="38"/>
        <v>10.004600528999999</v>
      </c>
      <c r="H104" s="44">
        <f t="shared" ca="1" si="38"/>
        <v>10.00690158712167</v>
      </c>
      <c r="I104" s="44">
        <f t="shared" ca="1" si="38"/>
        <v>10.009203174486707</v>
      </c>
      <c r="J104" s="44">
        <f t="shared" ca="1" si="38"/>
        <v>10.011505291216839</v>
      </c>
      <c r="K104" s="44">
        <f t="shared" ca="1" si="38"/>
        <v>10.013807937433818</v>
      </c>
    </row>
    <row r="105" spans="2:11" x14ac:dyDescent="0.35">
      <c r="B105" s="32" t="s">
        <v>109</v>
      </c>
      <c r="C105" s="79">
        <f>+C104/'Operating Build'!C14</f>
        <v>4.2425248556619263E-4</v>
      </c>
      <c r="D105" s="79">
        <f>+D104/'Operating Build'!D14</f>
        <v>2.3104174154130514E-4</v>
      </c>
      <c r="E105" s="79">
        <f>+E104/'Operating Build'!E14</f>
        <v>1.481766858802436E-4</v>
      </c>
      <c r="F105" s="79">
        <f t="shared" ref="F105:K105" ca="1" si="39">+OFFSET(F105,$D$4,)</f>
        <v>2.3000000000000001E-4</v>
      </c>
      <c r="G105" s="79">
        <f t="shared" ca="1" si="39"/>
        <v>2.3000000000000001E-4</v>
      </c>
      <c r="H105" s="79">
        <f t="shared" ca="1" si="39"/>
        <v>2.3000000000000001E-4</v>
      </c>
      <c r="I105" s="79">
        <f t="shared" ca="1" si="39"/>
        <v>2.3000000000000001E-4</v>
      </c>
      <c r="J105" s="79">
        <f t="shared" ca="1" si="39"/>
        <v>2.3000000000000001E-4</v>
      </c>
      <c r="K105" s="79">
        <f t="shared" ca="1" si="39"/>
        <v>2.3000000000000001E-4</v>
      </c>
    </row>
    <row r="106" spans="2:11" x14ac:dyDescent="0.35">
      <c r="B106" s="33" t="s">
        <v>9</v>
      </c>
      <c r="F106" s="80">
        <v>2.3000000000000001E-4</v>
      </c>
      <c r="G106" s="80">
        <v>2.3000000000000001E-4</v>
      </c>
      <c r="H106" s="80">
        <v>2.3000000000000001E-4</v>
      </c>
      <c r="I106" s="80">
        <v>2.3000000000000001E-4</v>
      </c>
      <c r="J106" s="80">
        <v>2.3000000000000001E-4</v>
      </c>
      <c r="K106" s="80">
        <v>2.3000000000000001E-4</v>
      </c>
    </row>
    <row r="107" spans="2:11" x14ac:dyDescent="0.35">
      <c r="B107" s="33" t="s">
        <v>11</v>
      </c>
      <c r="F107" s="80">
        <v>2.3000000000000001E-4</v>
      </c>
      <c r="G107" s="80">
        <v>2.3000000000000001E-4</v>
      </c>
      <c r="H107" s="80">
        <v>2.3000000000000001E-4</v>
      </c>
      <c r="I107" s="80">
        <v>2.3000000000000001E-4</v>
      </c>
      <c r="J107" s="80">
        <v>2.3000000000000001E-4</v>
      </c>
      <c r="K107" s="80">
        <v>2.3000000000000001E-4</v>
      </c>
    </row>
    <row r="108" spans="2:11" x14ac:dyDescent="0.35">
      <c r="B108" s="33" t="s">
        <v>12</v>
      </c>
      <c r="F108" s="80">
        <v>2.3000000000000001E-4</v>
      </c>
      <c r="G108" s="80">
        <v>2.3000000000000001E-4</v>
      </c>
      <c r="H108" s="80">
        <v>2.3000000000000001E-4</v>
      </c>
      <c r="I108" s="80">
        <v>2.3000000000000001E-4</v>
      </c>
      <c r="J108" s="80">
        <v>2.3000000000000001E-4</v>
      </c>
      <c r="K108" s="80">
        <v>2.3000000000000001E-4</v>
      </c>
    </row>
    <row r="110" spans="2:11" x14ac:dyDescent="0.35">
      <c r="B110" s="4" t="s">
        <v>97</v>
      </c>
      <c r="C110" s="51">
        <f>+'Operating Build'!C47</f>
        <v>275</v>
      </c>
      <c r="D110" s="51">
        <f>+'Operating Build'!D47</f>
        <v>213</v>
      </c>
      <c r="E110" s="51">
        <f>+'Operating Build'!E47</f>
        <v>437</v>
      </c>
      <c r="F110" s="44">
        <f ca="1">+F111*'Operating Build'!F14</f>
        <v>463.19905</v>
      </c>
      <c r="G110" s="44">
        <f ca="1">+G111*'Operating Build'!G14</f>
        <v>473.16943199999997</v>
      </c>
      <c r="H110" s="44">
        <f ca="1">+H111*'Operating Build'!H14</f>
        <v>483.36200690999999</v>
      </c>
      <c r="I110" s="44">
        <f ca="1">+I111*'Operating Build'!I14</f>
        <v>493.7819001318</v>
      </c>
      <c r="J110" s="44">
        <f ca="1">+J111*'Operating Build'!J14</f>
        <v>504.43435934349901</v>
      </c>
      <c r="K110" s="44">
        <f ca="1">+K111*'Operating Build'!K14</f>
        <v>515.32475751170239</v>
      </c>
    </row>
    <row r="111" spans="2:11" x14ac:dyDescent="0.35">
      <c r="B111" s="32" t="s">
        <v>109</v>
      </c>
      <c r="C111" s="45">
        <f>+C110/'Operating Build'!C14</f>
        <v>5.0725840665523034E-3</v>
      </c>
      <c r="D111" s="45">
        <f>+D110/'Operating Build'!D14</f>
        <v>5.4679878831442215E-3</v>
      </c>
      <c r="E111" s="45">
        <f>+E110/'Operating Build'!E14</f>
        <v>6.4753211729666454E-3</v>
      </c>
      <c r="F111" s="45">
        <f t="shared" ref="F111:K111" ca="1" si="40">+OFFSET(F111,$D$4,)</f>
        <v>5.0000000000000001E-3</v>
      </c>
      <c r="G111" s="45">
        <f t="shared" ca="1" si="40"/>
        <v>5.0000000000000001E-3</v>
      </c>
      <c r="H111" s="45">
        <f t="shared" ca="1" si="40"/>
        <v>5.0000000000000001E-3</v>
      </c>
      <c r="I111" s="45">
        <f t="shared" ca="1" si="40"/>
        <v>5.0000000000000001E-3</v>
      </c>
      <c r="J111" s="45">
        <f t="shared" ca="1" si="40"/>
        <v>5.0000000000000001E-3</v>
      </c>
      <c r="K111" s="45">
        <f t="shared" ca="1" si="40"/>
        <v>5.0000000000000001E-3</v>
      </c>
    </row>
    <row r="112" spans="2:11" x14ac:dyDescent="0.35">
      <c r="B112" s="33" t="s">
        <v>9</v>
      </c>
      <c r="F112" s="46">
        <v>5.0000000000000001E-3</v>
      </c>
      <c r="G112" s="46">
        <v>5.0000000000000001E-3</v>
      </c>
      <c r="H112" s="46">
        <v>5.0000000000000001E-3</v>
      </c>
      <c r="I112" s="46">
        <v>5.0000000000000001E-3</v>
      </c>
      <c r="J112" s="46">
        <v>5.0000000000000001E-3</v>
      </c>
      <c r="K112" s="46">
        <v>5.0000000000000001E-3</v>
      </c>
    </row>
    <row r="113" spans="2:11" x14ac:dyDescent="0.35">
      <c r="B113" s="33" t="s">
        <v>11</v>
      </c>
      <c r="F113" s="46">
        <v>5.0000000000000001E-3</v>
      </c>
      <c r="G113" s="46">
        <v>5.0000000000000001E-3</v>
      </c>
      <c r="H113" s="46">
        <v>5.0000000000000001E-3</v>
      </c>
      <c r="I113" s="46">
        <v>5.0000000000000001E-3</v>
      </c>
      <c r="J113" s="46">
        <v>5.0000000000000001E-3</v>
      </c>
      <c r="K113" s="46">
        <v>5.0000000000000001E-3</v>
      </c>
    </row>
    <row r="114" spans="2:11" x14ac:dyDescent="0.35">
      <c r="B114" s="33" t="s">
        <v>12</v>
      </c>
      <c r="F114" s="46">
        <v>5.0000000000000001E-3</v>
      </c>
      <c r="G114" s="46">
        <v>5.0000000000000001E-3</v>
      </c>
      <c r="H114" s="46">
        <v>5.0000000000000001E-3</v>
      </c>
      <c r="I114" s="46">
        <v>5.0000000000000001E-3</v>
      </c>
      <c r="J114" s="46">
        <v>5.0000000000000001E-3</v>
      </c>
      <c r="K114" s="46">
        <v>5.0000000000000001E-3</v>
      </c>
    </row>
    <row r="116" spans="2:11" x14ac:dyDescent="0.35">
      <c r="B116" s="4" t="s">
        <v>121</v>
      </c>
      <c r="C116" s="51">
        <f>+'Operating Build'!C50</f>
        <v>4149</v>
      </c>
      <c r="D116" s="51">
        <f>+'Operating Build'!D50</f>
        <v>2836</v>
      </c>
      <c r="E116" s="51">
        <f>+'Operating Build'!E50</f>
        <v>6834</v>
      </c>
      <c r="F116" s="44">
        <f ca="1">-('Operating Build'!F18*Assumptions!F117)/365</f>
        <v>9331.2400401369869</v>
      </c>
      <c r="G116" s="44">
        <f ca="1">-('Operating Build'!G18*Assumptions!G117)/365</f>
        <v>9532.0954342356144</v>
      </c>
      <c r="H116" s="44">
        <f ca="1">-('Operating Build'!H18*Assumptions!H117)/365</f>
        <v>9737.426950162273</v>
      </c>
      <c r="I116" s="44">
        <f ca="1">-('Operating Build'!I18*Assumptions!I117)/365</f>
        <v>9947.3378401893842</v>
      </c>
      <c r="J116" s="44">
        <f ca="1">-('Operating Build'!J18*Assumptions!J117)/365</f>
        <v>10161.933819870543</v>
      </c>
      <c r="K116" s="44">
        <f ca="1">-('Operating Build'!K18*Assumptions!K117)/365</f>
        <v>10381.32312872205</v>
      </c>
    </row>
    <row r="117" spans="2:11" x14ac:dyDescent="0.35">
      <c r="B117" s="32" t="s">
        <v>122</v>
      </c>
      <c r="C117" s="53">
        <f>-(C116/'Operating Build'!C18)*365</f>
        <v>38.048918368885204</v>
      </c>
      <c r="D117" s="53">
        <f>-(D116/'Operating Build'!D18)*365</f>
        <v>40.614430886334212</v>
      </c>
      <c r="E117" s="53">
        <f>-(E116/'Operating Build'!E18)*365</f>
        <v>49.497172338525644</v>
      </c>
      <c r="F117" s="53">
        <f t="shared" ref="F117:K117" ca="1" si="41">+OFFSET(F117,$D$4,)</f>
        <v>43</v>
      </c>
      <c r="G117" s="53">
        <f t="shared" ca="1" si="41"/>
        <v>43</v>
      </c>
      <c r="H117" s="53">
        <f t="shared" ca="1" si="41"/>
        <v>43</v>
      </c>
      <c r="I117" s="53">
        <f t="shared" ca="1" si="41"/>
        <v>43</v>
      </c>
      <c r="J117" s="53">
        <f t="shared" ca="1" si="41"/>
        <v>43</v>
      </c>
      <c r="K117" s="53">
        <f t="shared" ca="1" si="41"/>
        <v>43</v>
      </c>
    </row>
    <row r="118" spans="2:11" x14ac:dyDescent="0.35">
      <c r="B118" s="33" t="s">
        <v>9</v>
      </c>
      <c r="F118" s="54">
        <v>43</v>
      </c>
      <c r="G118" s="54">
        <v>43</v>
      </c>
      <c r="H118" s="54">
        <v>43</v>
      </c>
      <c r="I118" s="54">
        <v>43</v>
      </c>
      <c r="J118" s="54">
        <v>43</v>
      </c>
      <c r="K118" s="54">
        <v>43</v>
      </c>
    </row>
    <row r="119" spans="2:11" x14ac:dyDescent="0.35">
      <c r="B119" s="33" t="s">
        <v>11</v>
      </c>
      <c r="F119" s="54">
        <v>41</v>
      </c>
      <c r="G119" s="54">
        <v>41</v>
      </c>
      <c r="H119" s="54">
        <v>41</v>
      </c>
      <c r="I119" s="54">
        <v>41</v>
      </c>
      <c r="J119" s="54">
        <v>41</v>
      </c>
      <c r="K119" s="54">
        <v>41</v>
      </c>
    </row>
    <row r="120" spans="2:11" x14ac:dyDescent="0.35">
      <c r="B120" s="33" t="s">
        <v>12</v>
      </c>
      <c r="F120" s="54">
        <v>45</v>
      </c>
      <c r="G120" s="54">
        <v>45</v>
      </c>
      <c r="H120" s="54">
        <v>45</v>
      </c>
      <c r="I120" s="54">
        <v>45</v>
      </c>
      <c r="J120" s="54">
        <v>45</v>
      </c>
      <c r="K120" s="54">
        <v>45</v>
      </c>
    </row>
    <row r="122" spans="2:11" x14ac:dyDescent="0.35">
      <c r="B122" s="4" t="s">
        <v>100</v>
      </c>
      <c r="C122" s="51">
        <f>'Operating Build'!C51</f>
        <v>147</v>
      </c>
      <c r="D122" s="51">
        <f>'Operating Build'!D51</f>
        <v>238</v>
      </c>
      <c r="E122" s="51">
        <f>'Operating Build'!E51</f>
        <v>203</v>
      </c>
      <c r="F122" s="44">
        <f t="shared" ref="F122:K122" ca="1" si="42">E122*(1+F123)</f>
        <v>203.73080000000002</v>
      </c>
      <c r="G122" s="44">
        <f t="shared" ca="1" si="42"/>
        <v>204.46423088000003</v>
      </c>
      <c r="H122" s="44">
        <f t="shared" ca="1" si="42"/>
        <v>205.20030211116804</v>
      </c>
      <c r="I122" s="44">
        <f t="shared" ca="1" si="42"/>
        <v>205.93902319876827</v>
      </c>
      <c r="J122" s="44">
        <f t="shared" ca="1" si="42"/>
        <v>206.68040368228384</v>
      </c>
      <c r="K122" s="44">
        <f t="shared" ca="1" si="42"/>
        <v>207.42445313554006</v>
      </c>
    </row>
    <row r="123" spans="2:11" x14ac:dyDescent="0.35">
      <c r="B123" s="32" t="s">
        <v>109</v>
      </c>
      <c r="C123" s="77">
        <f>C122/'Operating Build'!$C$14</f>
        <v>2.711526755575231E-3</v>
      </c>
      <c r="D123" s="77">
        <f>D122/'Operating Build'!$C$14</f>
        <v>4.3900909375979933E-3</v>
      </c>
      <c r="E123" s="77">
        <f>E122/'Operating Build'!$C$14</f>
        <v>3.7444893291277001E-3</v>
      </c>
      <c r="F123" s="77">
        <f t="shared" ref="F123:K123" ca="1" si="43">+OFFSET(F123,$D$4,)</f>
        <v>3.5999999999999999E-3</v>
      </c>
      <c r="G123" s="77">
        <f t="shared" ca="1" si="43"/>
        <v>3.5999999999999999E-3</v>
      </c>
      <c r="H123" s="77">
        <f t="shared" ca="1" si="43"/>
        <v>3.5999999999999999E-3</v>
      </c>
      <c r="I123" s="77">
        <f t="shared" ca="1" si="43"/>
        <v>3.5999999999999999E-3</v>
      </c>
      <c r="J123" s="77">
        <f t="shared" ca="1" si="43"/>
        <v>3.5999999999999999E-3</v>
      </c>
      <c r="K123" s="77">
        <f t="shared" ca="1" si="43"/>
        <v>3.5999999999999999E-3</v>
      </c>
    </row>
    <row r="124" spans="2:11" x14ac:dyDescent="0.35">
      <c r="B124" s="33" t="s">
        <v>9</v>
      </c>
      <c r="F124" s="78">
        <v>3.5999999999999999E-3</v>
      </c>
      <c r="G124" s="78">
        <v>3.5999999999999999E-3</v>
      </c>
      <c r="H124" s="78">
        <v>3.5999999999999999E-3</v>
      </c>
      <c r="I124" s="78">
        <v>3.5999999999999999E-3</v>
      </c>
      <c r="J124" s="78">
        <v>3.5999999999999999E-3</v>
      </c>
      <c r="K124" s="78">
        <v>3.5999999999999999E-3</v>
      </c>
    </row>
    <row r="125" spans="2:11" x14ac:dyDescent="0.35">
      <c r="B125" s="33" t="s">
        <v>11</v>
      </c>
      <c r="F125" s="78">
        <v>3.5999999999999999E-3</v>
      </c>
      <c r="G125" s="78">
        <v>3.5999999999999999E-3</v>
      </c>
      <c r="H125" s="78">
        <v>3.5999999999999999E-3</v>
      </c>
      <c r="I125" s="78">
        <v>3.5999999999999999E-3</v>
      </c>
      <c r="J125" s="78">
        <v>3.5999999999999999E-3</v>
      </c>
      <c r="K125" s="78">
        <v>3.5999999999999999E-3</v>
      </c>
    </row>
    <row r="126" spans="2:11" x14ac:dyDescent="0.35">
      <c r="B126" s="33" t="s">
        <v>12</v>
      </c>
      <c r="F126" s="78">
        <v>3.5999999999999999E-3</v>
      </c>
      <c r="G126" s="78">
        <v>3.5999999999999999E-3</v>
      </c>
      <c r="H126" s="78">
        <v>3.5999999999999999E-3</v>
      </c>
      <c r="I126" s="78">
        <v>3.5999999999999999E-3</v>
      </c>
      <c r="J126" s="78">
        <v>3.5999999999999999E-3</v>
      </c>
      <c r="K126" s="78">
        <v>3.5999999999999999E-3</v>
      </c>
    </row>
    <row r="128" spans="2:11" x14ac:dyDescent="0.35">
      <c r="B128" s="4" t="s">
        <v>123</v>
      </c>
      <c r="C128" s="51">
        <f>'Operating Build'!C52</f>
        <v>60</v>
      </c>
      <c r="D128" s="51">
        <f>'Operating Build'!D52</f>
        <v>53</v>
      </c>
      <c r="E128" s="51">
        <f>'Operating Build'!E52</f>
        <v>47</v>
      </c>
      <c r="F128" s="44">
        <f t="shared" ref="F128:K128" ca="1" si="44">E128*(1+F129)</f>
        <v>47.046999999999997</v>
      </c>
      <c r="G128" s="44">
        <f t="shared" ca="1" si="44"/>
        <v>47.094046999999989</v>
      </c>
      <c r="H128" s="44">
        <f t="shared" ca="1" si="44"/>
        <v>47.141141046999984</v>
      </c>
      <c r="I128" s="44">
        <f t="shared" ca="1" si="44"/>
        <v>47.188282188046976</v>
      </c>
      <c r="J128" s="44">
        <f t="shared" ca="1" si="44"/>
        <v>47.235470470235015</v>
      </c>
      <c r="K128" s="44">
        <f t="shared" ca="1" si="44"/>
        <v>47.282705940705242</v>
      </c>
    </row>
    <row r="129" spans="2:11" x14ac:dyDescent="0.35">
      <c r="B129" s="32" t="s">
        <v>109</v>
      </c>
      <c r="C129" s="77">
        <f>C128/'Operating Build'!$C$14</f>
        <v>1.1067456145205025E-3</v>
      </c>
      <c r="D129" s="77">
        <f>D128/'Operating Build'!$C$14</f>
        <v>9.7762529282644384E-4</v>
      </c>
      <c r="E129" s="77">
        <f>E128/'Operating Build'!$C$14</f>
        <v>8.6695073137439357E-4</v>
      </c>
      <c r="F129" s="77">
        <f t="shared" ref="F129:K129" ca="1" si="45">+OFFSET(F129,$D$4,)</f>
        <v>1E-3</v>
      </c>
      <c r="G129" s="77">
        <f t="shared" ca="1" si="45"/>
        <v>1E-3</v>
      </c>
      <c r="H129" s="77">
        <f t="shared" ca="1" si="45"/>
        <v>1E-3</v>
      </c>
      <c r="I129" s="77">
        <f t="shared" ca="1" si="45"/>
        <v>1E-3</v>
      </c>
      <c r="J129" s="77">
        <f t="shared" ca="1" si="45"/>
        <v>1E-3</v>
      </c>
      <c r="K129" s="77">
        <f t="shared" ca="1" si="45"/>
        <v>1E-3</v>
      </c>
    </row>
    <row r="130" spans="2:11" x14ac:dyDescent="0.35">
      <c r="B130" s="33" t="s">
        <v>9</v>
      </c>
      <c r="F130" s="78">
        <v>1E-3</v>
      </c>
      <c r="G130" s="78">
        <v>1E-3</v>
      </c>
      <c r="H130" s="78">
        <v>1E-3</v>
      </c>
      <c r="I130" s="78">
        <v>1E-3</v>
      </c>
      <c r="J130" s="78">
        <v>1E-3</v>
      </c>
      <c r="K130" s="78">
        <v>1E-3</v>
      </c>
    </row>
    <row r="131" spans="2:11" x14ac:dyDescent="0.35">
      <c r="B131" s="33" t="s">
        <v>11</v>
      </c>
      <c r="F131" s="78">
        <v>1E-3</v>
      </c>
      <c r="G131" s="78">
        <v>1E-3</v>
      </c>
      <c r="H131" s="78">
        <v>1E-3</v>
      </c>
      <c r="I131" s="78">
        <v>1E-3</v>
      </c>
      <c r="J131" s="78">
        <v>1E-3</v>
      </c>
      <c r="K131" s="78">
        <v>1E-3</v>
      </c>
    </row>
    <row r="132" spans="2:11" x14ac:dyDescent="0.35">
      <c r="B132" s="33" t="s">
        <v>12</v>
      </c>
      <c r="F132" s="78">
        <v>1E-3</v>
      </c>
      <c r="G132" s="78">
        <v>1E-3</v>
      </c>
      <c r="H132" s="78">
        <v>1E-3</v>
      </c>
      <c r="I132" s="78">
        <v>1E-3</v>
      </c>
      <c r="J132" s="78">
        <v>1E-3</v>
      </c>
      <c r="K132" s="78">
        <v>1E-3</v>
      </c>
    </row>
    <row r="134" spans="2:11" x14ac:dyDescent="0.35">
      <c r="B134" s="4" t="s">
        <v>124</v>
      </c>
      <c r="C134" s="51">
        <f>+'Operating Build'!C53</f>
        <v>3342</v>
      </c>
      <c r="D134" s="51">
        <f>+'Operating Build'!D53</f>
        <v>2775</v>
      </c>
      <c r="E134" s="51">
        <f>+'Operating Build'!E53</f>
        <v>3071</v>
      </c>
      <c r="F134" s="44">
        <f ca="1">+F135*'Operating Build'!F14</f>
        <v>5558.3885999999993</v>
      </c>
      <c r="G134" s="44">
        <f ca="1">+G135*'Operating Build'!G14</f>
        <v>5678.033183999999</v>
      </c>
      <c r="H134" s="44">
        <f ca="1">+H135*'Operating Build'!H14</f>
        <v>5800.3440829199999</v>
      </c>
      <c r="I134" s="44">
        <f ca="1">+I135*'Operating Build'!I14</f>
        <v>5925.3828015815998</v>
      </c>
      <c r="J134" s="44">
        <f ca="1">+J135*'Operating Build'!J14</f>
        <v>6053.2123121219884</v>
      </c>
      <c r="K134" s="44">
        <f ca="1">+K135*'Operating Build'!K14</f>
        <v>6183.8970901404291</v>
      </c>
    </row>
    <row r="135" spans="2:11" x14ac:dyDescent="0.35">
      <c r="B135" s="32" t="s">
        <v>109</v>
      </c>
      <c r="C135" s="45">
        <f>+C134/'Operating Build'!C14</f>
        <v>6.1645730728791988E-2</v>
      </c>
      <c r="D135" s="45">
        <f>+D134/'Operating Build'!D14</f>
        <v>7.1237870308569082E-2</v>
      </c>
      <c r="E135" s="45">
        <f>+E134/'Operating Build'!E14</f>
        <v>4.5505060233822808E-2</v>
      </c>
      <c r="F135" s="45">
        <f t="shared" ref="F135:K135" ca="1" si="46">+OFFSET(F135,$D$4,)</f>
        <v>0.06</v>
      </c>
      <c r="G135" s="45">
        <f t="shared" ca="1" si="46"/>
        <v>0.06</v>
      </c>
      <c r="H135" s="45">
        <f t="shared" ca="1" si="46"/>
        <v>0.06</v>
      </c>
      <c r="I135" s="45">
        <f t="shared" ca="1" si="46"/>
        <v>0.06</v>
      </c>
      <c r="J135" s="45">
        <f t="shared" ca="1" si="46"/>
        <v>0.06</v>
      </c>
      <c r="K135" s="45">
        <f t="shared" ca="1" si="46"/>
        <v>0.06</v>
      </c>
    </row>
    <row r="136" spans="2:11" x14ac:dyDescent="0.35">
      <c r="B136" s="33" t="s">
        <v>9</v>
      </c>
      <c r="F136" s="46">
        <v>0.06</v>
      </c>
      <c r="G136" s="46">
        <v>0.06</v>
      </c>
      <c r="H136" s="46">
        <v>0.06</v>
      </c>
      <c r="I136" s="46">
        <v>0.06</v>
      </c>
      <c r="J136" s="46">
        <v>0.06</v>
      </c>
      <c r="K136" s="46">
        <v>0.06</v>
      </c>
    </row>
    <row r="137" spans="2:11" x14ac:dyDescent="0.35">
      <c r="B137" s="33" t="s">
        <v>11</v>
      </c>
      <c r="F137" s="46">
        <v>0.06</v>
      </c>
      <c r="G137" s="46">
        <v>0.06</v>
      </c>
      <c r="H137" s="46">
        <v>0.06</v>
      </c>
      <c r="I137" s="46">
        <v>0.06</v>
      </c>
      <c r="J137" s="46">
        <v>0.06</v>
      </c>
      <c r="K137" s="46">
        <v>0.06</v>
      </c>
    </row>
    <row r="138" spans="2:11" x14ac:dyDescent="0.35">
      <c r="B138" s="33" t="s">
        <v>12</v>
      </c>
      <c r="F138" s="46">
        <v>0.06</v>
      </c>
      <c r="G138" s="46">
        <v>0.06</v>
      </c>
      <c r="H138" s="46">
        <v>0.06</v>
      </c>
      <c r="I138" s="46">
        <v>0.06</v>
      </c>
      <c r="J138" s="46">
        <v>0.06</v>
      </c>
      <c r="K138" s="46">
        <v>0.06</v>
      </c>
    </row>
    <row r="140" spans="2:11" x14ac:dyDescent="0.35">
      <c r="B140"/>
      <c r="C140"/>
      <c r="D140"/>
      <c r="E140"/>
      <c r="F140"/>
      <c r="G140"/>
      <c r="H140"/>
      <c r="I140"/>
      <c r="J140"/>
      <c r="K140"/>
    </row>
    <row r="141" spans="2:11" x14ac:dyDescent="0.35">
      <c r="B141"/>
      <c r="C141"/>
      <c r="D141"/>
      <c r="E141"/>
      <c r="F141"/>
      <c r="G141"/>
      <c r="H141"/>
      <c r="I141"/>
      <c r="J141"/>
      <c r="K141"/>
    </row>
    <row r="142" spans="2:11" x14ac:dyDescent="0.35">
      <c r="B142"/>
      <c r="C142"/>
      <c r="D142"/>
      <c r="E142"/>
      <c r="F142"/>
      <c r="G142"/>
      <c r="H142"/>
      <c r="I142"/>
      <c r="J142"/>
      <c r="K142"/>
    </row>
    <row r="143" spans="2:11" x14ac:dyDescent="0.35">
      <c r="B143"/>
      <c r="C143"/>
      <c r="D143"/>
      <c r="E143"/>
      <c r="F143"/>
      <c r="G143"/>
      <c r="H143"/>
      <c r="I143"/>
      <c r="J143"/>
      <c r="K143"/>
    </row>
    <row r="144" spans="2:11" x14ac:dyDescent="0.35">
      <c r="B144"/>
      <c r="C144"/>
      <c r="D144"/>
      <c r="E144"/>
      <c r="F144"/>
      <c r="G144"/>
      <c r="H144"/>
      <c r="I144"/>
      <c r="J144"/>
      <c r="K144"/>
    </row>
  </sheetData>
  <mergeCells count="2">
    <mergeCell ref="C6:E6"/>
    <mergeCell ref="F6:K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677AC-EAB1-4F09-AD08-414ACC6B1320}">
  <sheetPr>
    <tabColor rgb="FF0D0D0D"/>
  </sheetPr>
  <dimension ref="C3:I19"/>
  <sheetViews>
    <sheetView workbookViewId="0">
      <selection activeCell="G22" sqref="G22"/>
    </sheetView>
  </sheetViews>
  <sheetFormatPr defaultRowHeight="14.5" x14ac:dyDescent="0.35"/>
  <cols>
    <col min="3" max="3" width="29.1796875" customWidth="1"/>
    <col min="4" max="4" width="19.1796875" bestFit="1" customWidth="1"/>
    <col min="5" max="5" width="21.26953125" bestFit="1" customWidth="1"/>
    <col min="6" max="6" width="22.7265625" bestFit="1" customWidth="1"/>
    <col min="7" max="7" width="19" bestFit="1" customWidth="1"/>
    <col min="8" max="8" width="20.453125" bestFit="1" customWidth="1"/>
    <col min="9" max="9" width="11.453125" bestFit="1" customWidth="1"/>
  </cols>
  <sheetData>
    <row r="3" spans="3:9" x14ac:dyDescent="0.35">
      <c r="C3" s="83" t="s">
        <v>125</v>
      </c>
      <c r="D3" s="83" t="s">
        <v>126</v>
      </c>
      <c r="E3" s="83" t="s">
        <v>127</v>
      </c>
      <c r="F3" s="83" t="s">
        <v>128</v>
      </c>
      <c r="G3" s="83" t="s">
        <v>129</v>
      </c>
      <c r="H3" s="83" t="s">
        <v>130</v>
      </c>
      <c r="I3" s="83" t="s">
        <v>131</v>
      </c>
    </row>
    <row r="4" spans="3:9" x14ac:dyDescent="0.35">
      <c r="C4" s="84" t="s">
        <v>132</v>
      </c>
      <c r="D4" s="85">
        <v>26583</v>
      </c>
      <c r="E4" s="86">
        <v>0.13</v>
      </c>
      <c r="F4" s="87">
        <v>0.124</v>
      </c>
      <c r="G4" s="88">
        <v>21.4</v>
      </c>
      <c r="H4" s="88">
        <v>2.7</v>
      </c>
      <c r="I4" s="88" t="s">
        <v>133</v>
      </c>
    </row>
    <row r="5" spans="3:9" x14ac:dyDescent="0.35">
      <c r="C5" s="89" t="s">
        <v>134</v>
      </c>
      <c r="D5" s="85">
        <v>40976.300000000003</v>
      </c>
      <c r="E5" s="86">
        <v>0.375</v>
      </c>
      <c r="F5" s="87">
        <v>0.316</v>
      </c>
      <c r="G5" s="88">
        <v>10.7</v>
      </c>
      <c r="H5" s="88">
        <v>3.9</v>
      </c>
      <c r="I5" s="88">
        <v>16.53</v>
      </c>
    </row>
    <row r="6" spans="3:9" x14ac:dyDescent="0.35">
      <c r="C6" s="89" t="s">
        <v>135</v>
      </c>
      <c r="D6" s="85">
        <v>52953.4</v>
      </c>
      <c r="E6" s="86">
        <v>0.11600000000000001</v>
      </c>
      <c r="F6" s="87">
        <v>0.151</v>
      </c>
      <c r="G6" s="88">
        <v>9.1999999999999993</v>
      </c>
      <c r="H6" s="88">
        <v>1.5</v>
      </c>
      <c r="I6" s="88">
        <v>9.77</v>
      </c>
    </row>
    <row r="7" spans="3:9" x14ac:dyDescent="0.35">
      <c r="C7" s="89" t="s">
        <v>136</v>
      </c>
      <c r="D7" s="85">
        <v>10357.5</v>
      </c>
      <c r="E7" s="86">
        <v>0.46800000000000003</v>
      </c>
      <c r="F7" s="87">
        <v>0.39200000000000002</v>
      </c>
      <c r="G7" s="88">
        <v>10.9</v>
      </c>
      <c r="H7" s="88">
        <v>4.9000000000000004</v>
      </c>
      <c r="I7" s="88">
        <v>10.6</v>
      </c>
    </row>
    <row r="8" spans="3:9" x14ac:dyDescent="0.35">
      <c r="C8" s="89" t="s">
        <v>137</v>
      </c>
      <c r="D8" s="85">
        <v>32926.400000000001</v>
      </c>
      <c r="E8" s="86">
        <v>0.54900000000000004</v>
      </c>
      <c r="F8" s="87">
        <v>0.50800000000000001</v>
      </c>
      <c r="G8" s="88">
        <v>8.8000000000000007</v>
      </c>
      <c r="H8" s="88">
        <v>4.9000000000000004</v>
      </c>
      <c r="I8" s="88">
        <v>9.6300000000000008</v>
      </c>
    </row>
    <row r="9" spans="3:9" x14ac:dyDescent="0.35">
      <c r="C9" s="89" t="s">
        <v>138</v>
      </c>
      <c r="D9" s="85">
        <v>16079.4</v>
      </c>
      <c r="E9" s="86">
        <v>0.16900000000000001</v>
      </c>
      <c r="F9" s="87">
        <v>0.11600000000000001</v>
      </c>
      <c r="G9" s="88">
        <v>11.7</v>
      </c>
      <c r="H9" s="88">
        <v>1.4</v>
      </c>
      <c r="I9" s="88">
        <v>13.28</v>
      </c>
    </row>
    <row r="10" spans="3:9" x14ac:dyDescent="0.35">
      <c r="C10" s="89" t="s">
        <v>139</v>
      </c>
      <c r="D10" s="85">
        <v>28801.7</v>
      </c>
      <c r="E10" s="86">
        <v>0.19500000000000001</v>
      </c>
      <c r="F10" s="87">
        <v>0.14499999999999999</v>
      </c>
      <c r="G10" s="88">
        <v>12.3</v>
      </c>
      <c r="H10" s="88">
        <v>1.9</v>
      </c>
      <c r="I10" s="88">
        <v>15.35</v>
      </c>
    </row>
    <row r="11" spans="3:9" x14ac:dyDescent="0.35">
      <c r="C11" s="89" t="s">
        <v>140</v>
      </c>
      <c r="D11" s="85">
        <v>80365.100000000006</v>
      </c>
      <c r="E11" s="86">
        <v>0.38200000000000001</v>
      </c>
      <c r="F11" s="87">
        <v>0.23400000000000001</v>
      </c>
      <c r="G11" s="88">
        <v>12.9</v>
      </c>
      <c r="H11" s="88">
        <v>3.8</v>
      </c>
      <c r="I11" s="88">
        <v>17.920000000000002</v>
      </c>
    </row>
    <row r="12" spans="3:9" x14ac:dyDescent="0.35">
      <c r="C12" s="89" t="s">
        <v>0</v>
      </c>
      <c r="D12" s="85">
        <v>36011.599999999999</v>
      </c>
      <c r="E12" s="86">
        <v>0.151</v>
      </c>
      <c r="F12" s="87">
        <v>9.0999999999999998E-2</v>
      </c>
      <c r="G12" s="88">
        <v>7.9</v>
      </c>
      <c r="H12" s="88">
        <v>1.1000000000000001</v>
      </c>
      <c r="I12" s="88">
        <v>8.11</v>
      </c>
    </row>
    <row r="13" spans="3:9" x14ac:dyDescent="0.35">
      <c r="C13" s="89"/>
      <c r="D13" s="90"/>
      <c r="E13" s="89"/>
      <c r="F13" s="89"/>
      <c r="G13" s="89"/>
      <c r="H13" s="89"/>
      <c r="I13" s="89"/>
    </row>
    <row r="14" spans="3:9" x14ac:dyDescent="0.35">
      <c r="C14" s="89" t="s">
        <v>141</v>
      </c>
      <c r="D14" s="90"/>
      <c r="E14" s="89"/>
      <c r="F14" s="89"/>
      <c r="G14" s="89"/>
      <c r="H14" s="89"/>
      <c r="I14" s="89"/>
    </row>
    <row r="15" spans="3:9" hidden="1" x14ac:dyDescent="0.35">
      <c r="C15" s="89" t="s">
        <v>142</v>
      </c>
      <c r="D15" s="90" t="s">
        <v>143</v>
      </c>
      <c r="E15" s="91" t="s">
        <v>144</v>
      </c>
      <c r="F15" s="92" t="s">
        <v>145</v>
      </c>
      <c r="G15" s="93" t="s">
        <v>146</v>
      </c>
      <c r="H15" s="93" t="s">
        <v>147</v>
      </c>
      <c r="I15" s="93" t="s">
        <v>148</v>
      </c>
    </row>
    <row r="16" spans="3:9" x14ac:dyDescent="0.35">
      <c r="C16" s="83" t="s">
        <v>149</v>
      </c>
      <c r="D16" s="90">
        <f>MIN(Table1[Market Cap ($mm)])</f>
        <v>10357.5</v>
      </c>
      <c r="E16" s="91">
        <f>MIN(Table1[Gross Margin (LTM)])</f>
        <v>0.11600000000000001</v>
      </c>
      <c r="F16" s="92">
        <f>MIN(Table1[EBITDA Margin (LTM)])</f>
        <v>9.0999999999999998E-2</v>
      </c>
      <c r="G16" s="93">
        <f>MIN(Table1[EV/EBITDA (LTM)])</f>
        <v>7.9</v>
      </c>
      <c r="H16" s="93">
        <f>MIN(Table1[EV/Revenue (LTM)])</f>
        <v>1.1000000000000001</v>
      </c>
      <c r="I16" s="93">
        <f>MIN(Table1[P/E])</f>
        <v>8.11</v>
      </c>
    </row>
    <row r="17" spans="3:9" x14ac:dyDescent="0.35">
      <c r="C17" s="83" t="s">
        <v>150</v>
      </c>
      <c r="D17" s="90">
        <f>MEDIAN(Table1[Market Cap ($mm)])</f>
        <v>32926.400000000001</v>
      </c>
      <c r="E17" s="91">
        <f>MEDIAN(Table1[Gross Margin (LTM)])</f>
        <v>0.19500000000000001</v>
      </c>
      <c r="F17" s="92">
        <f>MEDIAN(Table1[EBITDA Margin (LTM)])</f>
        <v>0.151</v>
      </c>
      <c r="G17" s="93">
        <f>MEDIAN(Table1[EV/EBITDA (LTM)])</f>
        <v>10.9</v>
      </c>
      <c r="H17" s="93">
        <f>MEDIAN(Table1[EV/Revenue (LTM)])</f>
        <v>2.7</v>
      </c>
      <c r="I17" s="93">
        <f>MEDIAN(Table1[P/E])</f>
        <v>11.94</v>
      </c>
    </row>
    <row r="18" spans="3:9" x14ac:dyDescent="0.35">
      <c r="C18" s="83" t="s">
        <v>151</v>
      </c>
      <c r="D18" s="90">
        <f>AVERAGE(Table1[Market Cap ($mm)])</f>
        <v>36117.155555555561</v>
      </c>
      <c r="E18" s="91">
        <f>AVERAGE(Table1[Gross Margin (LTM)])</f>
        <v>0.28166666666666662</v>
      </c>
      <c r="F18" s="92">
        <f>AVERAGE(Table1[EBITDA Margin (LTM)])</f>
        <v>0.23077777777777783</v>
      </c>
      <c r="G18" s="93">
        <f>AVERAGE(Table1[EV/EBITDA (LTM)])</f>
        <v>11.755555555555556</v>
      </c>
      <c r="H18" s="93">
        <f>AVERAGE(Table1[EV/Revenue (LTM)])</f>
        <v>2.9</v>
      </c>
      <c r="I18" s="93">
        <f>AVERAGE(Table1[P/E])</f>
        <v>12.64875</v>
      </c>
    </row>
    <row r="19" spans="3:9" x14ac:dyDescent="0.35">
      <c r="C19" s="83" t="s">
        <v>152</v>
      </c>
      <c r="D19" s="90">
        <f>MAX(Table1[Market Cap ($mm)])</f>
        <v>80365.100000000006</v>
      </c>
      <c r="E19" s="91">
        <f>MAX(Table1[Gross Margin (LTM)])</f>
        <v>0.54900000000000004</v>
      </c>
      <c r="F19" s="92">
        <f>MAX(Table1[EBITDA Margin (LTM)])</f>
        <v>0.50800000000000001</v>
      </c>
      <c r="G19" s="93">
        <f>MAX(Table1[EV/EBITDA (LTM)])</f>
        <v>21.4</v>
      </c>
      <c r="H19" s="93">
        <f>MAX(Table1[EV/Revenue (LTM)])</f>
        <v>4.9000000000000004</v>
      </c>
      <c r="I19" s="93">
        <f>MAX(Table1[P/E])</f>
        <v>17.920000000000002</v>
      </c>
    </row>
  </sheetData>
  <pageMargins left="0.7" right="0.7" top="0.75" bottom="0.75" header="0.3" footer="0.3"/>
  <tableParts count="2">
    <tablePart r:id="rId1"/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AB561F358BF64C827F42C97AEF6B58" ma:contentTypeVersion="7" ma:contentTypeDescription="Create a new document." ma:contentTypeScope="" ma:versionID="0b1350d169daf99c03ae287225451e02">
  <xsd:schema xmlns:xsd="http://www.w3.org/2001/XMLSchema" xmlns:xs="http://www.w3.org/2001/XMLSchema" xmlns:p="http://schemas.microsoft.com/office/2006/metadata/properties" xmlns:ns3="aedd27c2-dd6d-4b5b-88e4-a4c66d732f53" xmlns:ns4="5f723ffb-10c9-4b1e-9020-a2037e7b7b85" targetNamespace="http://schemas.microsoft.com/office/2006/metadata/properties" ma:root="true" ma:fieldsID="e2a1efd42ff70cebbd5fc47d7a53bcbe" ns3:_="" ns4:_="">
    <xsd:import namespace="aedd27c2-dd6d-4b5b-88e4-a4c66d732f53"/>
    <xsd:import namespace="5f723ffb-10c9-4b1e-9020-a2037e7b7b8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dd27c2-dd6d-4b5b-88e4-a4c66d732f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723ffb-10c9-4b1e-9020-a2037e7b7b8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F3BE6E-F127-4A82-93A6-07F4814AE70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02D0F16-6A87-407D-A52E-B32857E728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dd27c2-dd6d-4b5b-88e4-a4c66d732f53"/>
    <ds:schemaRef ds:uri="5f723ffb-10c9-4b1e-9020-a2037e7b7b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6E8D1D6-5175-46F9-9F23-A7E846A8C6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Master</vt:lpstr>
      <vt:lpstr>DCF</vt:lpstr>
      <vt:lpstr>Operating Build</vt:lpstr>
      <vt:lpstr>Assumptions</vt:lpstr>
      <vt:lpstr>Comps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ollie bernasek</dc:creator>
  <cp:keywords/>
  <dc:description/>
  <cp:lastModifiedBy>Sam Marshall</cp:lastModifiedBy>
  <cp:revision/>
  <dcterms:created xsi:type="dcterms:W3CDTF">2022-09-07T03:57:34Z</dcterms:created>
  <dcterms:modified xsi:type="dcterms:W3CDTF">2023-01-24T04:36:45Z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0x010100E7AB561F358BF64C827F42C97AEF6B58</vt:lpwstr>
  </property>
</Properties>
</file>