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DCF" sheetId="2" r:id="rId5"/>
    <sheet state="visible" name="Operating Build" sheetId="3" r:id="rId6"/>
    <sheet state="visible" name="Assumptions" sheetId="4" r:id="rId7"/>
    <sheet state="visible" name="Key Drivers" sheetId="5" r:id="rId8"/>
    <sheet state="visible" name="Comps" sheetId="6" r:id="rId9"/>
    <sheet state="visible" name="WACC" sheetId="7" r:id="rId10"/>
  </sheets>
  <externalReferences>
    <externalReference r:id="rId11"/>
  </externalReferences>
  <definedNames>
    <definedName name="B_Case">'[1]Brigade Control'!$I$5</definedName>
    <definedName name="CIQWBGuid">"8043ad58-dbea-429a-a538-5e826e227ba0"</definedName>
    <definedName name="CIQWBInfo">"{ ""CIQVersion"":""9.49.2423.4439"" }"</definedName>
    <definedName localSheetId="6" name="fdsgdsfgsg">{#N/A,"Base",FALSE,"Dividend";#N/A,"Conservative",FALSE,"Dividend";#N/A,"Downside",FALSE,"Dividend"}</definedName>
    <definedName name="fdsgdsfgsg">{#N/A,"Base",FALSE,"Dividend";#N/A,"Conservative",FALSE,"Dividend";#N/A,"Downside",FALSE,"Dividend"}</definedName>
    <definedName name="IQ_ADDIN">"AUTO"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"01"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localSheetId="6" name="IQ_NAMES_REVISION_DATE_">44948.7294675926</definedName>
    <definedName name="IQ_NAMES_REVISION_DATE_">44955.7456597222</definedName>
    <definedName name="IQ_NTM">6000</definedName>
    <definedName name="IQ_OPENED55">1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Pension_Debt">'[1]Brigade Reconciliation'!$O$59</definedName>
    <definedName localSheetId="6" name="ProjectName">{"Client Name or Project Name"}</definedName>
    <definedName name="ProjectName">{"Client Name or Project Name"}</definedName>
    <definedName localSheetId="6" name="Table1">{#N/A,"Base",FALSE,"Dividend";#N/A,"Conservative",FALSE,"Dividend";#N/A,"Downside",FALSE,"Dividend"}</definedName>
    <definedName name="Table1">{#N/A,"Base",FALSE,"Dividend";#N/A,"Conservative",FALSE,"Dividend";#N/A,"Downside",FALSE,"Dividend"}</definedName>
    <definedName localSheetId="6" name="wrn.3cases.">{#N/A,"Base",FALSE,"Dividend";#N/A,"Conservative",FALSE,"Dividend";#N/A,"Downside",FALSE,"Dividend"}</definedName>
    <definedName name="wrn.3cases.">{#N/A,"Base",FALSE,"Dividend";#N/A,"Conservative",FALSE,"Dividend";#N/A,"Downside",FALSE,"Dividend"}</definedName>
    <definedName name="morgan">#REF!</definedName>
    <definedName name="Consideration">#REF!</definedName>
    <definedName name="CIQANR_8410f62c4fe24ca3930776ef7cfffb79">#REF!</definedName>
    <definedName name="CIQANR_1c92318bcd9a46868db0502b29703f34">#REF!</definedName>
    <definedName name="sds">#REF!</definedName>
    <definedName name="_Case1">#REF!</definedName>
    <definedName name="_TBL1_Out">#REF!</definedName>
    <definedName name="DS_Rev_Proj">#REF!</definedName>
    <definedName name="cargo_rev_growth">#REF!</definedName>
    <definedName name="DS_EBIT_Margin_Proj">#REF!</definedName>
    <definedName name="_Table1_In1">#REF!</definedName>
    <definedName name="terminal_val">#REF!</definedName>
    <definedName name="sdf">#REF!</definedName>
    <definedName name="morgam">#REF!</definedName>
    <definedName name="gfj">#REF!</definedName>
    <definedName name="valoptions">#REF!</definedName>
    <definedName name="Table">#REF!</definedName>
    <definedName name="CAB_EBIT_Margin_Proj">#REF!</definedName>
    <definedName name="cashswitch">#REF!</definedName>
    <definedName name="Hello">#REF!</definedName>
    <definedName name="other_rev_growth">#REF!</definedName>
    <definedName name="CIQANR_9d65dd0ff88f4baca4954d7882306c5c">#REF!</definedName>
    <definedName name="case1">#REF!</definedName>
    <definedName name="PLB_EBIT_Margin_Proj">#REF!</definedName>
    <definedName name="_case2">#REF!</definedName>
    <definedName name="precedents">#REF!</definedName>
    <definedName name="TBL_1">#REF!</definedName>
    <definedName name="fdh">#REF!</definedName>
    <definedName name="MONC_NWC">#REF!</definedName>
    <definedName name="Hello1">#REF!</definedName>
    <definedName name="CAB_Rev_Proj">#REF!</definedName>
    <definedName name="ll">#REF!</definedName>
    <definedName name="Scenarios">#REF!</definedName>
    <definedName name="sdgsdg">#REF!</definedName>
    <definedName name="circ">#REF!</definedName>
    <definedName name="Form">#REF!</definedName>
    <definedName name="gh">#REF!</definedName>
    <definedName name="case2">#REF!</definedName>
    <definedName name="CIQANR_5361bef1fa824362a27fd61490b41286">#REF!</definedName>
    <definedName name="Scenarios_1">#REF!</definedName>
    <definedName name="passenger_rev_growth">#REF!</definedName>
    <definedName name="case3">#REF!</definedName>
    <definedName name="_cashswitch">#REF!</definedName>
    <definedName name="abc">#REF!</definedName>
    <definedName name="CIQANR_4994e61183224b8aae6c466ebc6b3de9">#REF!</definedName>
    <definedName name="_Table1_Out">#REF!</definedName>
    <definedName name="PLB_Rev_Proj">#REF!</definedName>
  </definedNames>
  <calcPr/>
  <extLst>
    <ext uri="GoogleSheetsCustomDataVersion1">
      <go:sheetsCustomData xmlns:go="http://customooxmlschemas.google.com/" r:id="rId12" roundtripDataSignature="AMtx7mhpuPiYc2jUdZSY6HbUDS1+K1ZowQ=="/>
    </ext>
  </extLst>
</workbook>
</file>

<file path=xl/sharedStrings.xml><?xml version="1.0" encoding="utf-8"?>
<sst xmlns="http://schemas.openxmlformats.org/spreadsheetml/2006/main" count="443" uniqueCount="242">
  <si>
    <t>Jazz Pharmaceuticals PLC</t>
  </si>
  <si>
    <t>NASDAQ: JAZZ</t>
  </si>
  <si>
    <t>Valuation Date</t>
  </si>
  <si>
    <t>DCF Valuation:</t>
  </si>
  <si>
    <t xml:space="preserve">Current Share Price </t>
  </si>
  <si>
    <t xml:space="preserve">Exit Multiple Method </t>
  </si>
  <si>
    <t xml:space="preserve">Gordon Growth Method </t>
  </si>
  <si>
    <t>Case (Adjustable)</t>
  </si>
  <si>
    <t xml:space="preserve">Blended Share Price </t>
  </si>
  <si>
    <t>Base</t>
  </si>
  <si>
    <t xml:space="preserve">Upside/Downside </t>
  </si>
  <si>
    <t xml:space="preserve">Bull </t>
  </si>
  <si>
    <t>Bear</t>
  </si>
  <si>
    <t>Discounted Cash Flow Valuation</t>
  </si>
  <si>
    <t>Active Case:</t>
  </si>
  <si>
    <t>$ in millions</t>
  </si>
  <si>
    <t>For Fiscal Year Ending December 31st,</t>
  </si>
  <si>
    <t>Exit Multiple Method:</t>
  </si>
  <si>
    <t>Gordon Growth Method:</t>
  </si>
  <si>
    <t>Revenue</t>
  </si>
  <si>
    <t>Terminal Value:</t>
  </si>
  <si>
    <t>% Growth</t>
  </si>
  <si>
    <t>2027 EBITDA</t>
  </si>
  <si>
    <t>2027 FCF</t>
  </si>
  <si>
    <t>(-) Operating Expenses</t>
  </si>
  <si>
    <t>Exit Multiple</t>
  </si>
  <si>
    <t>PGR</t>
  </si>
  <si>
    <t>(+) Depreciation &amp; Amortization</t>
  </si>
  <si>
    <t>Terminal Value</t>
  </si>
  <si>
    <t>EBITDA</t>
  </si>
  <si>
    <t>Period</t>
  </si>
  <si>
    <t>% Margin</t>
  </si>
  <si>
    <t>PV of Terminal Value</t>
  </si>
  <si>
    <t>(-) Depreciation &amp; Amortization</t>
  </si>
  <si>
    <t xml:space="preserve">EBIT </t>
  </si>
  <si>
    <t>Value Distribution:</t>
  </si>
  <si>
    <t>PV of Period Cash Flows</t>
  </si>
  <si>
    <t>(-) Taxes</t>
  </si>
  <si>
    <t>PV of Terminal Cash Flows</t>
  </si>
  <si>
    <t>% Effective Tax Rate</t>
  </si>
  <si>
    <t xml:space="preserve">Total </t>
  </si>
  <si>
    <t>NOPAT</t>
  </si>
  <si>
    <t>Period Cash Flows</t>
  </si>
  <si>
    <t>Terminal Cash Flows</t>
  </si>
  <si>
    <t>(-) Capital Expenditures</t>
  </si>
  <si>
    <t>(-) Change in Net Working Capital</t>
  </si>
  <si>
    <t>UFCF (excl. SBC)</t>
  </si>
  <si>
    <t>Implied Share Price:</t>
  </si>
  <si>
    <t>(-) Stub-Year</t>
  </si>
  <si>
    <t>Enterprise Value</t>
  </si>
  <si>
    <t>FCF For Discounting</t>
  </si>
  <si>
    <t>(-) Total Debt</t>
  </si>
  <si>
    <t>Discount Period</t>
  </si>
  <si>
    <t>(+) Cash</t>
  </si>
  <si>
    <t>Discount Factor</t>
  </si>
  <si>
    <t>Equity Value</t>
  </si>
  <si>
    <t>PV of UFCF</t>
  </si>
  <si>
    <t>Shares Outstanding (mm)</t>
  </si>
  <si>
    <t>Share Price</t>
  </si>
  <si>
    <t>WACC</t>
  </si>
  <si>
    <t>Share Price Sensitivity Analysis:</t>
  </si>
  <si>
    <t>Discount Rate</t>
  </si>
  <si>
    <t xml:space="preserve">Exit Multiple  </t>
  </si>
  <si>
    <t>Perpetuity Growth Method:</t>
  </si>
  <si>
    <t>Operating Build</t>
  </si>
  <si>
    <t xml:space="preserve">For the Fiscal Period Ending December 31st
</t>
  </si>
  <si>
    <t>2018A</t>
  </si>
  <si>
    <t>2019A</t>
  </si>
  <si>
    <t>2020A</t>
  </si>
  <si>
    <t>2021A</t>
  </si>
  <si>
    <t>2022E</t>
  </si>
  <si>
    <t>2023E</t>
  </si>
  <si>
    <t>2024E</t>
  </si>
  <si>
    <t>2025E</t>
  </si>
  <si>
    <t>2026E</t>
  </si>
  <si>
    <t>2027E</t>
  </si>
  <si>
    <t>Currency (in $mm)</t>
  </si>
  <si>
    <t>USD</t>
  </si>
  <si>
    <t xml:space="preserve"> </t>
  </si>
  <si>
    <t xml:space="preserve">  Total Revenue</t>
  </si>
  <si>
    <t>Cost Of Goods Sold</t>
  </si>
  <si>
    <t xml:space="preserve">  Gross Profit</t>
  </si>
  <si>
    <t>Selling General &amp; Admin Exp.</t>
  </si>
  <si>
    <t>R &amp; D Exp.</t>
  </si>
  <si>
    <t>Amort. of Goodwill and Intangibles</t>
  </si>
  <si>
    <t>Other Operating Expense</t>
  </si>
  <si>
    <t xml:space="preserve">  Other Operating Exp., Total</t>
  </si>
  <si>
    <t xml:space="preserve">  Operating Income (EBIT)</t>
  </si>
  <si>
    <t>(+) Depreciation</t>
  </si>
  <si>
    <t>(+) Amortization</t>
  </si>
  <si>
    <t xml:space="preserve">  EBITDA</t>
  </si>
  <si>
    <t>(-) D&amp;A</t>
  </si>
  <si>
    <t>Interest Expense, net</t>
  </si>
  <si>
    <t>Loss from Affiliates</t>
  </si>
  <si>
    <t>Currency Exchange Loss</t>
  </si>
  <si>
    <t xml:space="preserve">  EBT</t>
  </si>
  <si>
    <t>Tax Rate</t>
  </si>
  <si>
    <t>Income Tax Benefit (Expense)</t>
  </si>
  <si>
    <t xml:space="preserve">  Net Income</t>
  </si>
  <si>
    <t>Capital Expenditures</t>
  </si>
  <si>
    <t>Accounts Receivable</t>
  </si>
  <si>
    <t>Inventory</t>
  </si>
  <si>
    <t>Prepaid Exp.</t>
  </si>
  <si>
    <t>Other Current Assets</t>
  </si>
  <si>
    <t>Total Current Assets</t>
  </si>
  <si>
    <t>Accounts Payable</t>
  </si>
  <si>
    <t>Accrued Exp.</t>
  </si>
  <si>
    <t>Curr. Port. of LT Debt</t>
  </si>
  <si>
    <t>Curr. Port. of Leases</t>
  </si>
  <si>
    <t>-</t>
  </si>
  <si>
    <t>Curr. Income Taxes Payable</t>
  </si>
  <si>
    <t>Unearned Revenue, Current</t>
  </si>
  <si>
    <t>Other Current Liabilities</t>
  </si>
  <si>
    <t>Total Current Liabilities</t>
  </si>
  <si>
    <t>Net Working Capital</t>
  </si>
  <si>
    <t>Change from Previous Period</t>
  </si>
  <si>
    <t>Jazz Pharmaceuticals</t>
  </si>
  <si>
    <t>Assumptions</t>
  </si>
  <si>
    <t>x</t>
  </si>
  <si>
    <t>Forecasted Years</t>
  </si>
  <si>
    <t>Commentary</t>
  </si>
  <si>
    <t>Oxybate Revenue</t>
  </si>
  <si>
    <t>Based on estimated Xyrem-to-Xywav transition rate and IH market awareness described in Key Drivers tab</t>
  </si>
  <si>
    <t>Based on management's projections for Vision 2025</t>
  </si>
  <si>
    <t>Assuming oxybate transition is executed slower than expected and IH market doesn't accept Xywav</t>
  </si>
  <si>
    <t>Epidiolex Revenue</t>
  </si>
  <si>
    <t>Based on estimated market growth in TSC, LGS, and DS due to Epidiolex's EU launch as described in Key Drivers tab</t>
  </si>
  <si>
    <t>Based on management't projections for Vision 2025</t>
  </si>
  <si>
    <t>Assuming EU launch fails or doctors do not accept Epidiolex</t>
  </si>
  <si>
    <t>Other Neuroscience Revenue</t>
  </si>
  <si>
    <t>Referring to existing non-blockbuster neuroscience drugs (Sativex) and future neuroscience product leaving the pipeline</t>
  </si>
  <si>
    <t>Assuming non-blockbuster neuroscience drugs do not leave pipeline</t>
  </si>
  <si>
    <t>Oncology Revenue</t>
  </si>
  <si>
    <t>Referring to the numberous oncology products leaving the R&amp;D pipeline over the next few years</t>
  </si>
  <si>
    <t>Assuming oncology franchises take longer than expected to pass through pipeline and/or are not accepted as treatment</t>
  </si>
  <si>
    <t>Other Revenue</t>
  </si>
  <si>
    <t>Referring the royalities earned from Xyrem generics</t>
  </si>
  <si>
    <t>Cost of Goods Sold</t>
  </si>
  <si>
    <t>% of Revenue</t>
  </si>
  <si>
    <t>Taking account temporarily higher expenses due to recent GW acquisition and the ongoing integration process</t>
  </si>
  <si>
    <t>Based on historical track record of high gross margins</t>
  </si>
  <si>
    <t>Assuming that GW acquisition takes longer than anticipated to integrate</t>
  </si>
  <si>
    <t>Selling, General, and Administrative</t>
  </si>
  <si>
    <t>Based on historical averages while still taking account higher expenses due to recent GW acquisition</t>
  </si>
  <si>
    <t>Assuming that management does better than expected at controlling costs associated with the GW acquisition</t>
  </si>
  <si>
    <t>Assuming that near-term pipeline items are less accepted than expected, causing JAZZ to spend more on existing business</t>
  </si>
  <si>
    <t>Research and Development</t>
  </si>
  <si>
    <t>Assuming higher-than-usual R&amp;D spending due to management's plans to increasingly focus on developing the pipeline</t>
  </si>
  <si>
    <t>Assuming that pipeline expansion shows better-than-expected results, leading to more future R&amp;D spending</t>
  </si>
  <si>
    <t>Assumes existing pipeline struggles; money utilized on marketing of current products as opposed to developing new ones</t>
  </si>
  <si>
    <t>Amortization of Goodwill &amp; Other Intangibles</t>
  </si>
  <si>
    <t>Based on historical averages</t>
  </si>
  <si>
    <t>Other Operating Expenses</t>
  </si>
  <si>
    <t>Based on historical medians</t>
  </si>
  <si>
    <t>Depreciation</t>
  </si>
  <si>
    <t>Based on hisotricla averages</t>
  </si>
  <si>
    <t>Interst Expense, net</t>
  </si>
  <si>
    <t>Historical Average</t>
  </si>
  <si>
    <t>Taxes</t>
  </si>
  <si>
    <t>Industry norm</t>
  </si>
  <si>
    <t>% of Total Revenue</t>
  </si>
  <si>
    <t>Oxybate Assumptions</t>
  </si>
  <si>
    <t>Bull (Management) Case</t>
  </si>
  <si>
    <t>Xyrem Customers</t>
  </si>
  <si>
    <t>Growth</t>
  </si>
  <si>
    <t>Xywav Customers (Narcolepsy)</t>
  </si>
  <si>
    <t>Xywav Customers (IH)</t>
  </si>
  <si>
    <t>Total Xywav Customers</t>
  </si>
  <si>
    <t>Total Oxybate Customers</t>
  </si>
  <si>
    <t>Epidiolex Assumptions</t>
  </si>
  <si>
    <t>New Epidiolex Customers (TSC)</t>
  </si>
  <si>
    <t>New Epidiolex Customers (LGS)</t>
  </si>
  <si>
    <t>New Epidiolex Customers (DS)</t>
  </si>
  <si>
    <t>Total Epidiolex Customers</t>
  </si>
  <si>
    <t>EV/Revenue</t>
  </si>
  <si>
    <t>EV/EBITDA</t>
  </si>
  <si>
    <t>Price/Earnings</t>
  </si>
  <si>
    <t>Ticker</t>
  </si>
  <si>
    <t xml:space="preserve">Company </t>
  </si>
  <si>
    <t>Market Cap</t>
  </si>
  <si>
    <t>EV</t>
  </si>
  <si>
    <t>LTM</t>
  </si>
  <si>
    <t>NTM</t>
  </si>
  <si>
    <t>HZNP</t>
  </si>
  <si>
    <t>Horizon Therapeutics PLC</t>
  </si>
  <si>
    <t>IPN</t>
  </si>
  <si>
    <t>Ipsen SA</t>
  </si>
  <si>
    <t>UCB</t>
  </si>
  <si>
    <t>UCB SA</t>
  </si>
  <si>
    <t>VTRS</t>
  </si>
  <si>
    <t>Viatris Inc.</t>
  </si>
  <si>
    <t>HRMY</t>
  </si>
  <si>
    <t>Harmony Biosciences Holdings, Inc.</t>
  </si>
  <si>
    <t>JAZZ</t>
  </si>
  <si>
    <t>NM</t>
  </si>
  <si>
    <t>75th Percentile</t>
  </si>
  <si>
    <t>Mean</t>
  </si>
  <si>
    <t>Median</t>
  </si>
  <si>
    <t>25th Percentile</t>
  </si>
  <si>
    <t>Revenue Growth</t>
  </si>
  <si>
    <t>EBITDA Growth</t>
  </si>
  <si>
    <t>EBITDA Margins</t>
  </si>
  <si>
    <t>2021 A</t>
  </si>
  <si>
    <t>hdffjmf</t>
  </si>
  <si>
    <t>$ in millions, unless otherwise noted</t>
  </si>
  <si>
    <t>As of</t>
  </si>
  <si>
    <t>Beta Analysis</t>
  </si>
  <si>
    <t>Levered</t>
  </si>
  <si>
    <t>Net Debt /</t>
  </si>
  <si>
    <t>Unlevered</t>
  </si>
  <si>
    <t>EV /</t>
  </si>
  <si>
    <t>Company Name</t>
  </si>
  <si>
    <t>Beta</t>
  </si>
  <si>
    <t>Net Debt</t>
  </si>
  <si>
    <t>Mkt. Cap.</t>
  </si>
  <si>
    <t>Total Capital</t>
  </si>
  <si>
    <t>Equity</t>
  </si>
  <si>
    <t>Total Cap</t>
  </si>
  <si>
    <t>(NasdaqGS: HZNP)</t>
  </si>
  <si>
    <t>(ENXTPA: IPN)</t>
  </si>
  <si>
    <t>(ENXTPA: UCB)</t>
  </si>
  <si>
    <t>(NasdaqGS: VTRS)</t>
  </si>
  <si>
    <t>(NasdaqGM: HRMY)</t>
  </si>
  <si>
    <t>(NasdaqGS: JAZZ)</t>
  </si>
  <si>
    <t>Debt Assumptions</t>
  </si>
  <si>
    <t>Re-Levered Beta:</t>
  </si>
  <si>
    <t>Capital Structure Assumptions</t>
  </si>
  <si>
    <t>LTM Interest Expense</t>
  </si>
  <si>
    <t>Mean Unlevered Beta:</t>
  </si>
  <si>
    <t>Debt to Total Capitalization</t>
  </si>
  <si>
    <t>Total Debt Outstanding</t>
  </si>
  <si>
    <t>Jazz Debt / Equity:</t>
  </si>
  <si>
    <t>Equity to Total Capitalization</t>
  </si>
  <si>
    <t>Tax Rate:</t>
  </si>
  <si>
    <t>Tax-Adjusted Cost of Debt</t>
  </si>
  <si>
    <t>Average Re-Levered Beta:</t>
  </si>
  <si>
    <t>Cost of Debt</t>
  </si>
  <si>
    <t>Cost of Equity</t>
  </si>
  <si>
    <t>CAPM- Relevered Beta</t>
  </si>
  <si>
    <t>Risk Free Rate</t>
  </si>
  <si>
    <t>Market Risk Premium</t>
  </si>
  <si>
    <t>Levered Beta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</si>
</sst>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8">
    <numFmt numFmtId="164" formatCode="&quot;$&quot;#,##0.00_);[Red]\(&quot;$&quot;#,##0.00\)"/>
    <numFmt numFmtId="165" formatCode="&quot;$&quot;#,##0.00_);\(&quot;$&quot;#,##0.00\)"/>
    <numFmt numFmtId="166" formatCode="_(#,##0.0%_);\(#,##0.0%\);_(&quot;–&quot;_)_%;_(@_)_%"/>
    <numFmt numFmtId="167" formatCode="yyyy&quot;E&quot;"/>
    <numFmt numFmtId="168" formatCode="_(* #,##0.0_);_(* \(#,##0.0\);_(* &quot;-&quot;?_);_(@_)"/>
    <numFmt numFmtId="169" formatCode="&quot;$&quot;#,##0.0_);\(&quot;$&quot;#,##0.0\)"/>
    <numFmt numFmtId="170" formatCode="0.0&quot;x&quot;"/>
    <numFmt numFmtId="171" formatCode="#,##0.0_);\(#,##0.0\)"/>
    <numFmt numFmtId="172" formatCode="&quot;&quot;"/>
    <numFmt numFmtId="173" formatCode="_(#,##0.00%_);\(#,##0.00%\);_(&quot;–&quot;_)_%;_(@_)_%"/>
    <numFmt numFmtId="174" formatCode="0.0%"/>
    <numFmt numFmtId="175" formatCode="_(* #,##0.0_);_(* \(#,##0.0\)_)\ ;_(* 0_)"/>
    <numFmt numFmtId="176" formatCode="yyyy&quot;A&quot;"/>
    <numFmt numFmtId="177" formatCode="&quot;$&quot;#,##0.0"/>
    <numFmt numFmtId="178" formatCode="0.0%;\(0.0%\)"/>
    <numFmt numFmtId="179" formatCode="#,##0.0"/>
    <numFmt numFmtId="180" formatCode="#.0\x"/>
    <numFmt numFmtId="181" formatCode="#,###.0\x"/>
    <numFmt numFmtId="182" formatCode="0.0\x"/>
    <numFmt numFmtId="183" formatCode="#,##0.0%_);\(#,##0.0%\)"/>
    <numFmt numFmtId="184" formatCode="&quot;$&quot;#,##0"/>
    <numFmt numFmtId="185" formatCode="#,##0.00;\(#,##0.00\);\-;_(@_)"/>
    <numFmt numFmtId="186" formatCode="#,##0;\(#,##0\);\-;_(@_)"/>
    <numFmt numFmtId="187" formatCode="#,##0.0%;\(#,##0.0%\);\-\%;_(@_)"/>
    <numFmt numFmtId="188" formatCode="0.0\x;\(0.0\x\)"/>
    <numFmt numFmtId="189" formatCode="0.0"/>
    <numFmt numFmtId="190" formatCode="#,##0.000%_);\(#,##0.000%\)"/>
    <numFmt numFmtId="191" formatCode="0.000%"/>
  </numFmts>
  <fonts count="30">
    <font>
      <sz val="11.0"/>
      <color theme="1"/>
      <name val="Calibri"/>
      <scheme val="minor"/>
    </font>
    <font>
      <sz val="11.0"/>
      <color theme="1"/>
      <name val="Garamond"/>
    </font>
    <font>
      <b/>
      <sz val="11.0"/>
      <color theme="0"/>
      <name val="Garamond"/>
    </font>
    <font>
      <b/>
      <i/>
      <sz val="11.0"/>
      <color theme="0"/>
      <name val="Garamond"/>
    </font>
    <font>
      <sz val="11.0"/>
      <color rgb="FF0000FF"/>
      <name val="Garamond"/>
    </font>
    <font>
      <b/>
      <sz val="11.0"/>
      <color theme="1"/>
      <name val="Garamond"/>
    </font>
    <font>
      <b/>
      <sz val="11.0"/>
      <color rgb="FF0000FF"/>
      <name val="Garamond"/>
    </font>
    <font>
      <i/>
      <sz val="11.0"/>
      <color theme="1"/>
      <name val="Garamond"/>
    </font>
    <font/>
    <font>
      <sz val="11.0"/>
      <color rgb="FF00B050"/>
      <name val="Garamond"/>
    </font>
    <font>
      <sz val="11.0"/>
      <color theme="0"/>
      <name val="Garamond"/>
    </font>
    <font>
      <b/>
      <sz val="11.0"/>
      <color rgb="FFFFFFFF"/>
      <name val="Garamond"/>
    </font>
    <font>
      <b/>
      <sz val="11.0"/>
      <color rgb="FF000000"/>
      <name val="Garamond"/>
    </font>
    <font>
      <sz val="11.0"/>
      <color rgb="FF000000"/>
      <name val="Garamond"/>
    </font>
    <font>
      <i/>
      <sz val="11.0"/>
      <color rgb="FF000000"/>
      <name val="Garamond"/>
    </font>
    <font>
      <b/>
      <u/>
      <sz val="11.0"/>
      <color rgb="FF000000"/>
      <name val="Garamond"/>
    </font>
    <font>
      <b/>
      <sz val="11.0"/>
      <color rgb="FF00B050"/>
      <name val="Garamond"/>
    </font>
    <font>
      <sz val="11.0"/>
      <color theme="1"/>
      <name val="Calibri"/>
    </font>
    <font>
      <b/>
      <u/>
      <sz val="11.0"/>
      <color rgb="FF000000"/>
      <name val="Garamond"/>
    </font>
    <font>
      <i/>
      <sz val="11.0"/>
      <color theme="0"/>
      <name val="Garamond"/>
    </font>
    <font>
      <b/>
      <u/>
      <sz val="11.0"/>
      <color theme="0"/>
      <name val="Garamond"/>
    </font>
    <font>
      <b/>
      <u/>
      <sz val="11.0"/>
      <color theme="0"/>
      <name val="Garamond"/>
    </font>
    <font>
      <i/>
      <sz val="11.0"/>
      <color rgb="FF0000FF"/>
      <name val="Garamond"/>
    </font>
    <font>
      <b/>
      <i/>
      <sz val="11.0"/>
      <color theme="1"/>
      <name val="Garamond"/>
    </font>
    <font>
      <color theme="1"/>
      <name val="Calibri"/>
      <scheme val="minor"/>
    </font>
    <font>
      <sz val="11.0"/>
      <color rgb="FF008000"/>
      <name val="Garamond"/>
    </font>
    <font>
      <b/>
      <u/>
      <sz val="11.0"/>
      <color theme="1"/>
      <name val="Garamond"/>
    </font>
    <font>
      <b/>
      <sz val="11.0"/>
      <color rgb="FFFF0000"/>
      <name val="Garamond"/>
    </font>
    <font>
      <sz val="11.0"/>
      <color theme="1"/>
      <name val="Arial"/>
    </font>
    <font>
      <sz val="11.0"/>
      <color rgb="FF0000FF"/>
      <name val="Arial"/>
    </font>
  </fonts>
  <fills count="8">
    <fill>
      <patternFill patternType="none"/>
    </fill>
    <fill>
      <patternFill patternType="lightGray"/>
    </fill>
    <fill>
      <patternFill patternType="solid">
        <fgColor rgb="FF7A005A"/>
        <bgColor rgb="FF7A005A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42">
    <border/>
    <border>
      <left/>
      <right/>
      <top/>
      <bottom/>
    </border>
    <border>
      <top style="thin">
        <color rgb="FF000000"/>
      </top>
    </border>
    <border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 style="thin">
        <color rgb="FFFFFFFF"/>
      </bottom>
    </border>
    <border>
      <right/>
      <top/>
      <bottom style="thin">
        <color rgb="FFFFFFFF"/>
      </bottom>
    </border>
    <border>
      <left/>
      <right/>
      <top style="thin">
        <color rgb="FFFFFFFF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1" fillId="2" fontId="1" numFmtId="0" xfId="0" applyBorder="1" applyFont="1"/>
    <xf borderId="1" fillId="2" fontId="3" numFmtId="0" xfId="0" applyBorder="1" applyFont="1"/>
    <xf borderId="0" fillId="0" fontId="1" numFmtId="0" xfId="0" applyAlignment="1" applyFont="1">
      <alignment shrinkToFit="0" wrapText="1"/>
    </xf>
    <xf borderId="1" fillId="3" fontId="4" numFmtId="14" xfId="0" applyAlignment="1" applyBorder="1" applyFill="1" applyFont="1" applyNumberFormat="1">
      <alignment horizontal="center"/>
    </xf>
    <xf borderId="1" fillId="4" fontId="4" numFmtId="0" xfId="0" applyBorder="1" applyFill="1" applyFont="1"/>
    <xf borderId="0" fillId="0" fontId="5" numFmtId="0" xfId="0" applyFont="1"/>
    <xf borderId="1" fillId="4" fontId="1" numFmtId="0" xfId="0" applyBorder="1" applyFont="1"/>
    <xf borderId="1" fillId="3" fontId="4" numFmtId="164" xfId="0" applyAlignment="1" applyBorder="1" applyFont="1" applyNumberFormat="1">
      <alignment horizontal="center"/>
    </xf>
    <xf borderId="0" fillId="0" fontId="1" numFmtId="0" xfId="0" applyAlignment="1" applyFont="1">
      <alignment horizontal="left"/>
    </xf>
    <xf borderId="0" fillId="0" fontId="1" numFmtId="165" xfId="0" applyFont="1" applyNumberFormat="1"/>
    <xf borderId="1" fillId="3" fontId="6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horizontal="left"/>
    </xf>
    <xf borderId="2" fillId="0" fontId="5" numFmtId="165" xfId="0" applyBorder="1" applyFont="1" applyNumberFormat="1"/>
    <xf borderId="0" fillId="0" fontId="7" numFmtId="166" xfId="0" applyFont="1" applyNumberFormat="1"/>
    <xf borderId="0" fillId="0" fontId="4" numFmtId="164" xfId="0" applyAlignment="1" applyFont="1" applyNumberFormat="1">
      <alignment horizontal="center"/>
    </xf>
    <xf borderId="0" fillId="0" fontId="7" numFmtId="0" xfId="0" applyFont="1"/>
    <xf borderId="3" fillId="0" fontId="5" numFmtId="0" xfId="0" applyAlignment="1" applyBorder="1" applyFont="1">
      <alignment horizontal="center"/>
    </xf>
    <xf borderId="3" fillId="0" fontId="8" numFmtId="0" xfId="0" applyBorder="1" applyFont="1"/>
    <xf borderId="3" fillId="0" fontId="5" numFmtId="0" xfId="0" applyBorder="1" applyFont="1"/>
    <xf borderId="3" fillId="0" fontId="1" numFmtId="0" xfId="0" applyBorder="1" applyFont="1"/>
    <xf borderId="3" fillId="0" fontId="5" numFmtId="167" xfId="0" applyAlignment="1" applyBorder="1" applyFont="1" applyNumberFormat="1">
      <alignment horizontal="center" vertical="center"/>
    </xf>
    <xf borderId="1" fillId="2" fontId="2" numFmtId="168" xfId="0" applyBorder="1" applyFont="1" applyNumberFormat="1"/>
    <xf borderId="4" fillId="2" fontId="2" numFmtId="0" xfId="0" applyAlignment="1" applyBorder="1" applyFont="1">
      <alignment horizontal="center"/>
    </xf>
    <xf borderId="5" fillId="0" fontId="8" numFmtId="0" xfId="0" applyBorder="1" applyFont="1"/>
    <xf borderId="6" fillId="0" fontId="8" numFmtId="0" xfId="0" applyBorder="1" applyFont="1"/>
    <xf borderId="0" fillId="0" fontId="7" numFmtId="0" xfId="0" applyAlignment="1" applyFont="1">
      <alignment horizontal="left"/>
    </xf>
    <xf borderId="7" fillId="0" fontId="1" numFmtId="0" xfId="0" applyBorder="1" applyFont="1"/>
    <xf borderId="2" fillId="0" fontId="1" numFmtId="0" xfId="0" applyBorder="1" applyFont="1"/>
    <xf borderId="8" fillId="0" fontId="1" numFmtId="169" xfId="0" applyBorder="1" applyFont="1" applyNumberFormat="1"/>
    <xf borderId="0" fillId="0" fontId="1" numFmtId="168" xfId="0" applyFont="1" applyNumberFormat="1"/>
    <xf borderId="9" fillId="0" fontId="1" numFmtId="0" xfId="0" applyBorder="1" applyFont="1"/>
    <xf borderId="10" fillId="0" fontId="9" numFmtId="170" xfId="0" applyBorder="1" applyFont="1" applyNumberFormat="1"/>
    <xf borderId="10" fillId="0" fontId="4" numFmtId="10" xfId="0" applyBorder="1" applyFont="1" applyNumberFormat="1"/>
    <xf borderId="9" fillId="0" fontId="5" numFmtId="0" xfId="0" applyAlignment="1" applyBorder="1" applyFont="1">
      <alignment horizontal="left"/>
    </xf>
    <xf borderId="8" fillId="0" fontId="5" numFmtId="169" xfId="0" applyBorder="1" applyFont="1" applyNumberFormat="1"/>
    <xf borderId="10" fillId="0" fontId="1" numFmtId="171" xfId="0" applyBorder="1" applyFont="1" applyNumberFormat="1"/>
    <xf borderId="11" fillId="0" fontId="5" numFmtId="0" xfId="0" applyAlignment="1" applyBorder="1" applyFont="1">
      <alignment horizontal="left"/>
    </xf>
    <xf borderId="12" fillId="0" fontId="5" numFmtId="169" xfId="0" applyBorder="1" applyFont="1" applyNumberFormat="1"/>
    <xf borderId="10" fillId="0" fontId="1" numFmtId="169" xfId="0" applyBorder="1" applyFont="1" applyNumberFormat="1"/>
    <xf borderId="10" fillId="0" fontId="1" numFmtId="166" xfId="0" applyBorder="1" applyFont="1" applyNumberFormat="1"/>
    <xf borderId="11" fillId="0" fontId="5" numFmtId="9" xfId="0" applyAlignment="1" applyBorder="1" applyFont="1" applyNumberFormat="1">
      <alignment horizontal="left"/>
    </xf>
    <xf borderId="13" fillId="0" fontId="5" numFmtId="166" xfId="0" applyBorder="1" applyFont="1" applyNumberFormat="1"/>
    <xf borderId="9" fillId="0" fontId="5" numFmtId="0" xfId="0" applyBorder="1" applyFont="1"/>
    <xf borderId="9" fillId="0" fontId="1" numFmtId="0" xfId="0" applyAlignment="1" applyBorder="1" applyFont="1">
      <alignment horizontal="left"/>
    </xf>
    <xf borderId="10" fillId="0" fontId="4" numFmtId="168" xfId="0" applyBorder="1" applyFont="1" applyNumberFormat="1"/>
    <xf borderId="0" fillId="0" fontId="1" numFmtId="39" xfId="0" applyFont="1" applyNumberFormat="1"/>
    <xf borderId="10" fillId="0" fontId="4" numFmtId="171" xfId="0" applyBorder="1" applyFont="1" applyNumberFormat="1"/>
    <xf borderId="8" fillId="0" fontId="5" numFmtId="165" xfId="0" applyBorder="1" applyFont="1" applyNumberFormat="1"/>
    <xf borderId="14" fillId="5" fontId="5" numFmtId="0" xfId="0" applyBorder="1" applyFill="1" applyFont="1"/>
    <xf borderId="15" fillId="5" fontId="1" numFmtId="0" xfId="0" applyBorder="1" applyFont="1"/>
    <xf borderId="15" fillId="5" fontId="1" numFmtId="10" xfId="0" applyAlignment="1" applyBorder="1" applyFont="1" applyNumberFormat="1">
      <alignment horizontal="right"/>
    </xf>
    <xf borderId="16" fillId="5" fontId="5" numFmtId="10" xfId="0" applyAlignment="1" applyBorder="1" applyFont="1" applyNumberFormat="1">
      <alignment horizontal="right"/>
    </xf>
    <xf borderId="11" fillId="0" fontId="1" numFmtId="0" xfId="0" applyAlignment="1" applyBorder="1" applyFont="1">
      <alignment horizontal="left"/>
    </xf>
    <xf borderId="12" fillId="0" fontId="1" numFmtId="166" xfId="0" applyBorder="1" applyFont="1" applyNumberFormat="1"/>
    <xf borderId="0" fillId="0" fontId="5" numFmtId="0" xfId="0" applyAlignment="1" applyFont="1">
      <alignment shrinkToFit="0" textRotation="90" vertical="center" wrapText="1"/>
    </xf>
    <xf borderId="1" fillId="2" fontId="10" numFmtId="172" xfId="0" applyBorder="1" applyFont="1" applyNumberFormat="1"/>
    <xf borderId="1" fillId="2" fontId="2" numFmtId="173" xfId="0" applyAlignment="1" applyBorder="1" applyFont="1" applyNumberFormat="1">
      <alignment horizontal="center"/>
    </xf>
    <xf borderId="0" fillId="0" fontId="5" numFmtId="0" xfId="0" applyAlignment="1" applyFont="1">
      <alignment horizontal="right" shrinkToFit="0" textRotation="90" vertical="center" wrapText="1"/>
    </xf>
    <xf borderId="1" fillId="2" fontId="2" numFmtId="170" xfId="0" applyBorder="1" applyFont="1" applyNumberFormat="1"/>
    <xf borderId="7" fillId="0" fontId="1" numFmtId="165" xfId="0" applyBorder="1" applyFont="1" applyNumberFormat="1"/>
    <xf borderId="2" fillId="0" fontId="1" numFmtId="165" xfId="0" applyBorder="1" applyFont="1" applyNumberFormat="1"/>
    <xf borderId="8" fillId="0" fontId="1" numFmtId="165" xfId="0" applyBorder="1" applyFont="1" applyNumberFormat="1"/>
    <xf borderId="9" fillId="0" fontId="1" numFmtId="165" xfId="0" applyBorder="1" applyFont="1" applyNumberFormat="1"/>
    <xf borderId="17" fillId="0" fontId="1" numFmtId="165" xfId="0" applyBorder="1" applyFont="1" applyNumberFormat="1"/>
    <xf borderId="10" fillId="0" fontId="1" numFmtId="165" xfId="0" applyBorder="1" applyFont="1" applyNumberFormat="1"/>
    <xf borderId="11" fillId="0" fontId="1" numFmtId="165" xfId="0" applyBorder="1" applyFont="1" applyNumberFormat="1"/>
    <xf borderId="3" fillId="0" fontId="1" numFmtId="165" xfId="0" applyBorder="1" applyFont="1" applyNumberFormat="1"/>
    <xf borderId="12" fillId="0" fontId="1" numFmtId="165" xfId="0" applyBorder="1" applyFont="1" applyNumberFormat="1"/>
    <xf borderId="1" fillId="2" fontId="2" numFmtId="166" xfId="0" applyAlignment="1" applyBorder="1" applyFont="1" applyNumberFormat="1">
      <alignment horizontal="left"/>
    </xf>
    <xf borderId="1" fillId="2" fontId="11" numFmtId="0" xfId="0" applyBorder="1" applyFont="1"/>
    <xf borderId="1" fillId="2" fontId="2" numFmtId="0" xfId="0" applyAlignment="1" applyBorder="1" applyFont="1">
      <alignment shrinkToFit="0" wrapText="1"/>
    </xf>
    <xf borderId="1" fillId="2" fontId="2" numFmtId="0" xfId="0" applyAlignment="1" applyBorder="1" applyFont="1">
      <alignment horizontal="right" shrinkToFit="0" wrapText="1"/>
    </xf>
    <xf borderId="1" fillId="2" fontId="3" numFmtId="0" xfId="0" applyAlignment="1" applyBorder="1" applyFont="1">
      <alignment shrinkToFit="0" wrapText="1"/>
    </xf>
    <xf borderId="1" fillId="2" fontId="3" numFmtId="0" xfId="0" applyAlignment="1" applyBorder="1" applyFont="1">
      <alignment horizontal="right" shrinkToFit="0" wrapText="1"/>
    </xf>
    <xf borderId="0" fillId="0" fontId="12" numFmtId="0" xfId="0" applyAlignment="1" applyFont="1">
      <alignment horizontal="left" vertical="top"/>
    </xf>
    <xf borderId="0" fillId="0" fontId="13" numFmtId="0" xfId="0" applyAlignment="1" applyFont="1">
      <alignment horizontal="left" vertical="top"/>
    </xf>
    <xf borderId="0" fillId="0" fontId="4" numFmtId="168" xfId="0" applyAlignment="1" applyFont="1" applyNumberFormat="1">
      <alignment horizontal="right" shrinkToFit="0" vertical="top" wrapText="1"/>
    </xf>
    <xf borderId="0" fillId="0" fontId="9" numFmtId="168" xfId="0" applyFont="1" applyNumberFormat="1"/>
    <xf borderId="2" fillId="0" fontId="12" numFmtId="168" xfId="0" applyAlignment="1" applyBorder="1" applyFont="1" applyNumberFormat="1">
      <alignment horizontal="right" shrinkToFit="0" vertical="top" wrapText="1"/>
    </xf>
    <xf borderId="0" fillId="0" fontId="14" numFmtId="0" xfId="0" applyAlignment="1" applyFont="1">
      <alignment horizontal="left" vertical="top"/>
    </xf>
    <xf borderId="0" fillId="0" fontId="12" numFmtId="168" xfId="0" applyAlignment="1" applyFont="1" applyNumberFormat="1">
      <alignment horizontal="right" shrinkToFit="0" vertical="top" wrapText="1"/>
    </xf>
    <xf borderId="0" fillId="0" fontId="14" numFmtId="174" xfId="0" applyAlignment="1" applyFont="1" applyNumberFormat="1">
      <alignment horizontal="right" shrinkToFit="0" vertical="top" wrapText="1"/>
    </xf>
    <xf borderId="0" fillId="0" fontId="13" numFmtId="168" xfId="0" applyAlignment="1" applyFont="1" applyNumberFormat="1">
      <alignment horizontal="left" vertical="top"/>
    </xf>
    <xf borderId="3" fillId="0" fontId="13" numFmtId="168" xfId="0" applyAlignment="1" applyBorder="1" applyFont="1" applyNumberFormat="1">
      <alignment horizontal="left" vertical="top"/>
    </xf>
    <xf borderId="3" fillId="0" fontId="1" numFmtId="168" xfId="0" applyBorder="1" applyFont="1" applyNumberFormat="1"/>
    <xf borderId="3" fillId="0" fontId="4" numFmtId="168" xfId="0" applyAlignment="1" applyBorder="1" applyFont="1" applyNumberFormat="1">
      <alignment horizontal="right" shrinkToFit="0" vertical="top" wrapText="1"/>
    </xf>
    <xf borderId="3" fillId="0" fontId="9" numFmtId="168" xfId="0" applyBorder="1" applyFont="1" applyNumberFormat="1"/>
    <xf borderId="0" fillId="0" fontId="12" numFmtId="168" xfId="0" applyAlignment="1" applyFont="1" applyNumberFormat="1">
      <alignment horizontal="left" vertical="top"/>
    </xf>
    <xf borderId="0" fillId="0" fontId="14" numFmtId="174" xfId="0" applyAlignment="1" applyFont="1" applyNumberFormat="1">
      <alignment vertical="top"/>
    </xf>
    <xf borderId="0" fillId="0" fontId="9" numFmtId="174" xfId="0" applyFont="1" applyNumberFormat="1"/>
    <xf borderId="2" fillId="0" fontId="15" numFmtId="168" xfId="0" applyAlignment="1" applyBorder="1" applyFont="1" applyNumberFormat="1">
      <alignment horizontal="right" shrinkToFit="0" vertical="top" wrapText="1"/>
    </xf>
    <xf borderId="0" fillId="0" fontId="6" numFmtId="168" xfId="0" applyAlignment="1" applyFont="1" applyNumberFormat="1">
      <alignment horizontal="right" shrinkToFit="0" vertical="top" wrapText="1"/>
    </xf>
    <xf borderId="0" fillId="0" fontId="16" numFmtId="168" xfId="0" applyFont="1" applyNumberFormat="1"/>
    <xf borderId="0" fillId="0" fontId="4" numFmtId="175" xfId="0" applyAlignment="1" applyFont="1" applyNumberFormat="1">
      <alignment horizontal="right" shrinkToFit="0" vertical="top" wrapText="1"/>
    </xf>
    <xf borderId="3" fillId="0" fontId="4" numFmtId="175" xfId="0" applyAlignment="1" applyBorder="1" applyFont="1" applyNumberFormat="1">
      <alignment horizontal="right" shrinkToFit="0" vertical="top" wrapText="1"/>
    </xf>
    <xf borderId="0" fillId="0" fontId="17" numFmtId="168" xfId="0" applyFont="1" applyNumberFormat="1"/>
    <xf borderId="0" fillId="0" fontId="18" numFmtId="168" xfId="0" applyAlignment="1" applyFont="1" applyNumberFormat="1">
      <alignment horizontal="right" shrinkToFit="0" vertical="top" wrapText="1"/>
    </xf>
    <xf borderId="0" fillId="0" fontId="1" numFmtId="168" xfId="0" applyAlignment="1" applyFont="1" applyNumberFormat="1">
      <alignment horizontal="right" shrinkToFit="0" vertical="top" wrapText="1"/>
    </xf>
    <xf borderId="1" fillId="2" fontId="10" numFmtId="0" xfId="0" applyBorder="1" applyFont="1"/>
    <xf borderId="1" fillId="2" fontId="19" numFmtId="0" xfId="0" applyBorder="1" applyFont="1"/>
    <xf borderId="1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center"/>
    </xf>
    <xf borderId="18" fillId="2" fontId="20" numFmtId="2" xfId="0" applyAlignment="1" applyBorder="1" applyFont="1" applyNumberFormat="1">
      <alignment horizontal="center"/>
    </xf>
    <xf borderId="19" fillId="0" fontId="8" numFmtId="0" xfId="0" applyBorder="1" applyFont="1"/>
    <xf borderId="20" fillId="0" fontId="8" numFmtId="0" xfId="0" applyBorder="1" applyFont="1"/>
    <xf borderId="18" fillId="2" fontId="21" numFmtId="0" xfId="0" applyAlignment="1" applyBorder="1" applyFont="1">
      <alignment horizontal="center"/>
    </xf>
    <xf borderId="21" fillId="2" fontId="2" numFmtId="176" xfId="0" applyAlignment="1" applyBorder="1" applyFont="1" applyNumberFormat="1">
      <alignment horizontal="center" vertical="center"/>
    </xf>
    <xf borderId="21" fillId="2" fontId="2" numFmtId="167" xfId="0" applyAlignment="1" applyBorder="1" applyFont="1" applyNumberFormat="1">
      <alignment horizontal="center" vertical="center"/>
    </xf>
    <xf borderId="22" fillId="0" fontId="5" numFmtId="0" xfId="0" applyAlignment="1" applyBorder="1" applyFont="1">
      <alignment horizontal="center"/>
    </xf>
    <xf borderId="0" fillId="0" fontId="6" numFmtId="169" xfId="0" applyAlignment="1" applyFont="1" applyNumberFormat="1">
      <alignment horizontal="right"/>
    </xf>
    <xf borderId="0" fillId="0" fontId="5" numFmtId="169" xfId="0" applyAlignment="1" applyFont="1" applyNumberFormat="1">
      <alignment horizontal="right"/>
    </xf>
    <xf borderId="0" fillId="0" fontId="7" numFmtId="174" xfId="0" applyFont="1" applyNumberFormat="1"/>
    <xf borderId="1" fillId="4" fontId="7" numFmtId="166" xfId="0" applyBorder="1" applyFont="1" applyNumberFormat="1"/>
    <xf borderId="17" fillId="3" fontId="22" numFmtId="166" xfId="0" applyBorder="1" applyFont="1" applyNumberFormat="1"/>
    <xf borderId="0" fillId="0" fontId="1" numFmtId="169" xfId="0" applyFont="1" applyNumberFormat="1"/>
    <xf borderId="0" fillId="0" fontId="4" numFmtId="169" xfId="0" applyAlignment="1" applyFont="1" applyNumberFormat="1">
      <alignment horizontal="right"/>
    </xf>
    <xf borderId="0" fillId="0" fontId="5" numFmtId="169" xfId="0" applyFont="1" applyNumberFormat="1"/>
    <xf borderId="0" fillId="0" fontId="7" numFmtId="0" xfId="0" applyAlignment="1" applyFont="1">
      <alignment horizontal="right"/>
    </xf>
    <xf borderId="1" fillId="4" fontId="7" numFmtId="166" xfId="0" applyAlignment="1" applyBorder="1" applyFont="1" applyNumberFormat="1">
      <alignment horizontal="right"/>
    </xf>
    <xf borderId="0" fillId="0" fontId="1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0" fontId="6" numFmtId="177" xfId="0" applyAlignment="1" applyFont="1" applyNumberFormat="1">
      <alignment horizontal="right"/>
    </xf>
    <xf borderId="0" fillId="0" fontId="6" numFmtId="169" xfId="0" applyFont="1" applyNumberFormat="1"/>
    <xf borderId="0" fillId="0" fontId="1" numFmtId="174" xfId="0" applyFont="1" applyNumberFormat="1"/>
    <xf borderId="0" fillId="0" fontId="6" numFmtId="169" xfId="0" applyAlignment="1" applyFont="1" applyNumberFormat="1">
      <alignment horizontal="right" shrinkToFit="0" vertical="top" wrapText="1"/>
    </xf>
    <xf borderId="17" fillId="6" fontId="22" numFmtId="174" xfId="0" applyBorder="1" applyFill="1" applyFont="1" applyNumberFormat="1"/>
    <xf borderId="23" fillId="6" fontId="22" numFmtId="174" xfId="0" applyBorder="1" applyFont="1" applyNumberFormat="1"/>
    <xf borderId="0" fillId="0" fontId="7" numFmtId="166" xfId="0" applyAlignment="1" applyFont="1" applyNumberFormat="1">
      <alignment horizontal="right"/>
    </xf>
    <xf borderId="0" fillId="0" fontId="7" numFmtId="169" xfId="0" applyFont="1" applyNumberFormat="1"/>
    <xf borderId="1" fillId="4" fontId="7" numFmtId="169" xfId="0" applyBorder="1" applyFont="1" applyNumberFormat="1"/>
    <xf borderId="17" fillId="3" fontId="22" numFmtId="169" xfId="0" applyBorder="1" applyFont="1" applyNumberFormat="1"/>
    <xf borderId="1" fillId="4" fontId="23" numFmtId="166" xfId="0" applyBorder="1" applyFont="1" applyNumberFormat="1"/>
    <xf borderId="0" fillId="0" fontId="16" numFmtId="169" xfId="0" applyFont="1" applyNumberFormat="1"/>
    <xf borderId="0" fillId="0" fontId="7" numFmtId="171" xfId="0" applyFont="1" applyNumberFormat="1"/>
    <xf borderId="0" fillId="0" fontId="22" numFmtId="171" xfId="0" applyFont="1" applyNumberFormat="1"/>
    <xf borderId="0" fillId="0" fontId="7" numFmtId="173" xfId="0" applyFont="1" applyNumberFormat="1"/>
    <xf borderId="0" fillId="0" fontId="22" numFmtId="166" xfId="0" applyFont="1" applyNumberFormat="1"/>
    <xf borderId="0" fillId="0" fontId="22" numFmtId="173" xfId="0" applyFont="1" applyNumberFormat="1"/>
    <xf borderId="0" fillId="0" fontId="22" numFmtId="10" xfId="0" applyFont="1" applyNumberFormat="1"/>
    <xf borderId="0" fillId="0" fontId="4" numFmtId="3" xfId="0" applyFont="1" applyNumberFormat="1"/>
    <xf borderId="0" fillId="0" fontId="1" numFmtId="3" xfId="0" applyFont="1" applyNumberFormat="1"/>
    <xf borderId="0" fillId="0" fontId="4" numFmtId="0" xfId="0" applyFont="1"/>
    <xf borderId="0" fillId="0" fontId="1" numFmtId="178" xfId="0" applyFont="1" applyNumberFormat="1"/>
    <xf borderId="0" fillId="0" fontId="4" numFmtId="178" xfId="0" applyFont="1" applyNumberFormat="1"/>
    <xf borderId="0" fillId="0" fontId="1" numFmtId="1" xfId="0" applyFont="1" applyNumberFormat="1"/>
    <xf borderId="0" fillId="0" fontId="9" numFmtId="0" xfId="0" applyFont="1"/>
    <xf borderId="0" fillId="0" fontId="4" numFmtId="174" xfId="0" applyFont="1" applyNumberFormat="1"/>
    <xf borderId="0" fillId="0" fontId="4" numFmtId="169" xfId="0" applyFont="1" applyNumberFormat="1"/>
    <xf borderId="24" fillId="0" fontId="5" numFmtId="174" xfId="0" applyBorder="1" applyFont="1" applyNumberFormat="1"/>
    <xf borderId="25" fillId="0" fontId="5" numFmtId="174" xfId="0" applyBorder="1" applyFont="1" applyNumberFormat="1"/>
    <xf borderId="26" fillId="0" fontId="5" numFmtId="174" xfId="0" applyBorder="1" applyFont="1" applyNumberFormat="1"/>
    <xf borderId="0" fillId="0" fontId="4" numFmtId="1" xfId="0" applyFont="1" applyNumberFormat="1"/>
    <xf borderId="1" fillId="2" fontId="11" numFmtId="0" xfId="0" applyAlignment="1" applyBorder="1" applyFont="1">
      <alignment horizontal="center"/>
    </xf>
    <xf borderId="27" fillId="2" fontId="11" numFmtId="0" xfId="0" applyAlignment="1" applyBorder="1" applyFont="1">
      <alignment horizontal="center"/>
    </xf>
    <xf borderId="28" fillId="0" fontId="8" numFmtId="0" xfId="0" applyBorder="1" applyFont="1"/>
    <xf borderId="1" fillId="7" fontId="13" numFmtId="0" xfId="0" applyAlignment="1" applyBorder="1" applyFill="1" applyFont="1">
      <alignment horizontal="center"/>
    </xf>
    <xf borderId="0" fillId="0" fontId="1" numFmtId="0" xfId="0" applyAlignment="1" applyFont="1">
      <alignment horizontal="center"/>
    </xf>
    <xf borderId="29" fillId="2" fontId="11" numFmtId="0" xfId="0" applyAlignment="1" applyBorder="1" applyFont="1">
      <alignment horizontal="center"/>
    </xf>
    <xf borderId="0" fillId="0" fontId="1" numFmtId="179" xfId="0" applyAlignment="1" applyFont="1" applyNumberFormat="1">
      <alignment horizontal="center"/>
    </xf>
    <xf borderId="0" fillId="0" fontId="1" numFmtId="180" xfId="0" applyAlignment="1" applyFont="1" applyNumberFormat="1">
      <alignment horizontal="center"/>
    </xf>
    <xf borderId="1" fillId="7" fontId="13" numFmtId="2" xfId="0" applyAlignment="1" applyBorder="1" applyFont="1" applyNumberFormat="1">
      <alignment horizontal="center"/>
    </xf>
    <xf borderId="1" fillId="2" fontId="11" numFmtId="177" xfId="0" applyAlignment="1" applyBorder="1" applyFont="1" applyNumberFormat="1">
      <alignment horizontal="center"/>
    </xf>
    <xf borderId="1" fillId="2" fontId="11" numFmtId="180" xfId="0" applyAlignment="1" applyBorder="1" applyFont="1" applyNumberFormat="1">
      <alignment horizontal="center"/>
    </xf>
    <xf borderId="1" fillId="7" fontId="13" numFmtId="0" xfId="0" applyBorder="1" applyFont="1"/>
    <xf borderId="1" fillId="7" fontId="13" numFmtId="0" xfId="0" applyAlignment="1" applyBorder="1" applyFont="1">
      <alignment horizontal="right"/>
    </xf>
    <xf borderId="1" fillId="7" fontId="13" numFmtId="181" xfId="0" applyAlignment="1" applyBorder="1" applyFont="1" applyNumberFormat="1">
      <alignment horizontal="left"/>
    </xf>
    <xf borderId="1" fillId="7" fontId="13" numFmtId="182" xfId="0" applyAlignment="1" applyBorder="1" applyFont="1" applyNumberFormat="1">
      <alignment horizontal="left"/>
    </xf>
    <xf borderId="2" fillId="0" fontId="1" numFmtId="179" xfId="0" applyBorder="1" applyFont="1" applyNumberFormat="1"/>
    <xf borderId="2" fillId="0" fontId="1" numFmtId="182" xfId="0" applyBorder="1" applyFont="1" applyNumberFormat="1"/>
    <xf borderId="8" fillId="0" fontId="1" numFmtId="182" xfId="0" applyBorder="1" applyFont="1" applyNumberFormat="1"/>
    <xf borderId="0" fillId="0" fontId="1" numFmtId="179" xfId="0" applyFont="1" applyNumberFormat="1"/>
    <xf borderId="0" fillId="0" fontId="1" numFmtId="182" xfId="0" applyFont="1" applyNumberFormat="1"/>
    <xf borderId="10" fillId="0" fontId="1" numFmtId="182" xfId="0" applyBorder="1" applyFont="1" applyNumberFormat="1"/>
    <xf borderId="11" fillId="0" fontId="1" numFmtId="0" xfId="0" applyBorder="1" applyFont="1"/>
    <xf borderId="3" fillId="0" fontId="1" numFmtId="179" xfId="0" applyBorder="1" applyFont="1" applyNumberFormat="1"/>
    <xf borderId="3" fillId="0" fontId="1" numFmtId="182" xfId="0" applyBorder="1" applyFont="1" applyNumberFormat="1"/>
    <xf borderId="12" fillId="0" fontId="1" numFmtId="182" xfId="0" applyBorder="1" applyFont="1" applyNumberFormat="1"/>
    <xf borderId="18" fillId="2" fontId="11" numFmtId="0" xfId="0" applyAlignment="1" applyBorder="1" applyFont="1">
      <alignment horizontal="center"/>
    </xf>
    <xf borderId="1" fillId="2" fontId="11" numFmtId="0" xfId="0" applyAlignment="1" applyBorder="1" applyFont="1">
      <alignment horizontal="center" shrinkToFit="0" wrapText="1"/>
    </xf>
    <xf borderId="0" fillId="0" fontId="1" numFmtId="174" xfId="0" applyAlignment="1" applyFont="1" applyNumberFormat="1">
      <alignment horizontal="center"/>
    </xf>
    <xf borderId="0" fillId="0" fontId="1" numFmtId="183" xfId="0" applyAlignment="1" applyFont="1" applyNumberFormat="1">
      <alignment horizontal="center"/>
    </xf>
    <xf borderId="1" fillId="7" fontId="13" numFmtId="179" xfId="0" applyAlignment="1" applyBorder="1" applyFont="1" applyNumberFormat="1">
      <alignment horizontal="center"/>
    </xf>
    <xf borderId="1" fillId="7" fontId="13" numFmtId="174" xfId="0" applyAlignment="1" applyBorder="1" applyFont="1" applyNumberFormat="1">
      <alignment horizontal="center"/>
    </xf>
    <xf borderId="1" fillId="2" fontId="11" numFmtId="184" xfId="0" applyAlignment="1" applyBorder="1" applyFont="1" applyNumberFormat="1">
      <alignment horizontal="center"/>
    </xf>
    <xf borderId="1" fillId="2" fontId="11" numFmtId="174" xfId="0" applyAlignment="1" applyBorder="1" applyFont="1" applyNumberFormat="1">
      <alignment horizontal="center"/>
    </xf>
    <xf borderId="2" fillId="0" fontId="1" numFmtId="174" xfId="0" applyBorder="1" applyFont="1" applyNumberFormat="1"/>
    <xf borderId="8" fillId="0" fontId="1" numFmtId="174" xfId="0" applyBorder="1" applyFont="1" applyNumberFormat="1"/>
    <xf borderId="10" fillId="0" fontId="1" numFmtId="174" xfId="0" applyBorder="1" applyFont="1" applyNumberFormat="1"/>
    <xf borderId="3" fillId="0" fontId="1" numFmtId="174" xfId="0" applyBorder="1" applyFont="1" applyNumberFormat="1"/>
    <xf borderId="12" fillId="0" fontId="1" numFmtId="174" xfId="0" applyBorder="1" applyFont="1" applyNumberFormat="1"/>
    <xf borderId="0" fillId="0" fontId="24" numFmtId="0" xfId="0" applyFont="1"/>
    <xf borderId="0" fillId="0" fontId="1" numFmtId="14" xfId="0" applyFont="1" applyNumberFormat="1"/>
    <xf borderId="1" fillId="2" fontId="5" numFmtId="0" xfId="0" applyBorder="1" applyFont="1"/>
    <xf borderId="0" fillId="0" fontId="23" numFmtId="0" xfId="0" applyFont="1"/>
    <xf borderId="0" fillId="0" fontId="23" numFmtId="0" xfId="0" applyAlignment="1" applyFont="1">
      <alignment horizontal="center"/>
    </xf>
    <xf borderId="0" fillId="0" fontId="4" numFmtId="185" xfId="0" applyAlignment="1" applyFont="1" applyNumberFormat="1">
      <alignment horizontal="right"/>
    </xf>
    <xf borderId="0" fillId="0" fontId="4" numFmtId="186" xfId="0" applyAlignment="1" applyFont="1" applyNumberFormat="1">
      <alignment horizontal="right"/>
    </xf>
    <xf borderId="0" fillId="0" fontId="1" numFmtId="186" xfId="0" applyAlignment="1" applyFont="1" applyNumberFormat="1">
      <alignment horizontal="right"/>
    </xf>
    <xf borderId="0" fillId="0" fontId="1" numFmtId="187" xfId="0" applyAlignment="1" applyFont="1" applyNumberFormat="1">
      <alignment horizontal="right"/>
    </xf>
    <xf borderId="0" fillId="0" fontId="4" numFmtId="187" xfId="0" applyAlignment="1" applyFont="1" applyNumberFormat="1">
      <alignment horizontal="right"/>
    </xf>
    <xf borderId="0" fillId="0" fontId="1" numFmtId="39" xfId="0" applyAlignment="1" applyFont="1" applyNumberFormat="1">
      <alignment horizontal="right"/>
    </xf>
    <xf borderId="0" fillId="0" fontId="9" numFmtId="188" xfId="0" applyFont="1" applyNumberFormat="1"/>
    <xf borderId="0" fillId="0" fontId="25" numFmtId="188" xfId="0" applyAlignment="1" applyFont="1" applyNumberFormat="1">
      <alignment horizontal="right"/>
    </xf>
    <xf borderId="0" fillId="0" fontId="9" numFmtId="188" xfId="0" applyAlignment="1" applyFont="1" applyNumberFormat="1">
      <alignment horizontal="right"/>
    </xf>
    <xf borderId="30" fillId="5" fontId="5" numFmtId="0" xfId="0" applyBorder="1" applyFont="1"/>
    <xf borderId="31" fillId="5" fontId="5" numFmtId="0" xfId="0" applyBorder="1" applyFont="1"/>
    <xf borderId="31" fillId="5" fontId="5" numFmtId="183" xfId="0" applyBorder="1" applyFont="1" applyNumberFormat="1"/>
    <xf borderId="31" fillId="5" fontId="5" numFmtId="185" xfId="0" applyBorder="1" applyFont="1" applyNumberFormat="1"/>
    <xf borderId="31" fillId="5" fontId="5" numFmtId="174" xfId="0" applyBorder="1" applyFont="1" applyNumberFormat="1"/>
    <xf borderId="31" fillId="5" fontId="5" numFmtId="182" xfId="0" applyBorder="1" applyFont="1" applyNumberFormat="1"/>
    <xf borderId="32" fillId="5" fontId="5" numFmtId="0" xfId="0" applyBorder="1" applyFont="1"/>
    <xf borderId="33" fillId="5" fontId="5" numFmtId="0" xfId="0" applyBorder="1" applyFont="1"/>
    <xf borderId="33" fillId="5" fontId="5" numFmtId="183" xfId="0" applyBorder="1" applyFont="1" applyNumberFormat="1"/>
    <xf borderId="33" fillId="5" fontId="5" numFmtId="185" xfId="0" applyBorder="1" applyFont="1" applyNumberFormat="1"/>
    <xf borderId="33" fillId="5" fontId="5" numFmtId="174" xfId="0" applyBorder="1" applyFont="1" applyNumberFormat="1"/>
    <xf borderId="33" fillId="5" fontId="5" numFmtId="182" xfId="0" applyBorder="1" applyFont="1" applyNumberFormat="1"/>
    <xf borderId="0" fillId="0" fontId="5" numFmtId="39" xfId="0" applyAlignment="1" applyFont="1" applyNumberFormat="1">
      <alignment horizontal="right"/>
    </xf>
    <xf borderId="0" fillId="0" fontId="5" numFmtId="171" xfId="0" applyAlignment="1" applyFont="1" applyNumberFormat="1">
      <alignment horizontal="right"/>
    </xf>
    <xf borderId="0" fillId="0" fontId="5" numFmtId="183" xfId="0" applyAlignment="1" applyFont="1" applyNumberFormat="1">
      <alignment horizontal="right"/>
    </xf>
    <xf borderId="34" fillId="2" fontId="2" numFmtId="0" xfId="0" applyBorder="1" applyFont="1"/>
    <xf borderId="35" fillId="2" fontId="2" numFmtId="0" xfId="0" applyBorder="1" applyFont="1"/>
    <xf borderId="0" fillId="0" fontId="2" numFmtId="0" xfId="0" applyFont="1"/>
    <xf borderId="0" fillId="0" fontId="26" numFmtId="0" xfId="0" applyAlignment="1" applyFont="1">
      <alignment horizontal="center"/>
    </xf>
    <xf borderId="0" fillId="0" fontId="4" numFmtId="1" xfId="0" applyAlignment="1" applyFont="1" applyNumberFormat="1">
      <alignment horizontal="right"/>
    </xf>
    <xf borderId="0" fillId="0" fontId="1" numFmtId="183" xfId="0" applyFont="1" applyNumberFormat="1"/>
    <xf borderId="0" fillId="0" fontId="4" numFmtId="189" xfId="0" applyFont="1" applyNumberFormat="1"/>
    <xf borderId="0" fillId="0" fontId="5" numFmtId="183" xfId="0" applyFont="1" applyNumberFormat="1"/>
    <xf borderId="0" fillId="0" fontId="4" numFmtId="9" xfId="0" applyFont="1" applyNumberFormat="1"/>
    <xf borderId="0" fillId="0" fontId="1" numFmtId="183" xfId="0" applyAlignment="1" applyFont="1" applyNumberFormat="1">
      <alignment horizontal="right"/>
    </xf>
    <xf borderId="36" fillId="5" fontId="5" numFmtId="0" xfId="0" applyBorder="1" applyFont="1"/>
    <xf borderId="37" fillId="5" fontId="5" numFmtId="0" xfId="0" applyBorder="1" applyFont="1"/>
    <xf borderId="38" fillId="5" fontId="27" numFmtId="10" xfId="0" applyBorder="1" applyFont="1" applyNumberFormat="1"/>
    <xf borderId="38" fillId="5" fontId="5" numFmtId="39" xfId="0" applyBorder="1" applyFont="1" applyNumberFormat="1"/>
    <xf borderId="0" fillId="0" fontId="1" numFmtId="190" xfId="0" applyAlignment="1" applyFont="1" applyNumberFormat="1">
      <alignment horizontal="right"/>
    </xf>
    <xf borderId="39" fillId="0" fontId="5" numFmtId="0" xfId="0" applyAlignment="1" applyBorder="1" applyFont="1">
      <alignment horizontal="left"/>
    </xf>
    <xf borderId="40" fillId="0" fontId="5" numFmtId="0" xfId="0" applyAlignment="1" applyBorder="1" applyFont="1">
      <alignment horizontal="left"/>
    </xf>
    <xf borderId="13" fillId="0" fontId="5" numFmtId="0" xfId="0" applyAlignment="1" applyBorder="1" applyFont="1">
      <alignment horizontal="left"/>
    </xf>
    <xf borderId="17" fillId="0" fontId="5" numFmtId="174" xfId="0" applyBorder="1" applyFont="1" applyNumberFormat="1"/>
    <xf borderId="0" fillId="0" fontId="4" numFmtId="191" xfId="0" applyFont="1" applyNumberFormat="1"/>
    <xf borderId="40" fillId="0" fontId="8" numFmtId="0" xfId="0" applyBorder="1" applyFont="1"/>
    <xf borderId="13" fillId="0" fontId="8" numFmtId="0" xfId="0" applyBorder="1" applyFont="1"/>
    <xf borderId="41" fillId="2" fontId="1" numFmtId="0" xfId="0" applyBorder="1" applyFont="1"/>
    <xf borderId="0" fillId="0" fontId="1" numFmtId="10" xfId="0" applyFont="1" applyNumberFormat="1"/>
    <xf borderId="0" fillId="0" fontId="28" numFmtId="0" xfId="0" applyFont="1"/>
    <xf borderId="0" fillId="0" fontId="29" numFmtId="0" xfId="0" applyFont="1"/>
    <xf borderId="0" fillId="0" fontId="29" numFmtId="191" xfId="0" applyFont="1" applyNumberFormat="1"/>
    <xf borderId="0" fillId="0" fontId="29" numFmtId="189" xfId="0" applyFont="1" applyNumberFormat="1"/>
    <xf borderId="0" fillId="0" fontId="28" numFmtId="190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https://d.docs.live.net/Msad/root/NA/NY/lib/IBD/TRANSPORTATION_NY/DEPT_ONLY/JZ/LOGISTIC/BCO/2015/5.%20Project%20Brigade/Model/Project%20Brigade_Model_vCurrent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Brigade Control"/>
      <sheetName val="Brigade Reconciliation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0.71"/>
    <col customWidth="1" min="3" max="3" width="11.29"/>
    <col customWidth="1" min="4" max="4" width="10.71"/>
    <col customWidth="1" min="5" max="5" width="4.71"/>
    <col customWidth="1" min="6" max="6" width="25.71"/>
    <col customWidth="1" min="7" max="26" width="10.71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 t="s">
        <v>1</v>
      </c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 t="s">
        <v>2</v>
      </c>
      <c r="C5" s="6">
        <v>44964.0</v>
      </c>
      <c r="D5" s="7"/>
      <c r="E5" s="1"/>
      <c r="F5" s="8" t="s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9" t="s">
        <v>4</v>
      </c>
      <c r="C6" s="10">
        <v>153.13</v>
      </c>
      <c r="D6" s="7"/>
      <c r="E6" s="1"/>
      <c r="F6" s="11" t="s">
        <v>5</v>
      </c>
      <c r="G6" s="12">
        <f>+DCF!L29</f>
        <v>186.9575322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9"/>
      <c r="C7" s="7"/>
      <c r="D7" s="7"/>
      <c r="E7" s="1"/>
      <c r="F7" s="11" t="s">
        <v>6</v>
      </c>
      <c r="G7" s="12">
        <f>+DCF!P29</f>
        <v>248.0245182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 t="s">
        <v>7</v>
      </c>
      <c r="C8" s="13">
        <v>1.0</v>
      </c>
      <c r="D8" s="14" t="str">
        <f>+OFFSET(D8,$C$8,)</f>
        <v>Base</v>
      </c>
      <c r="E8" s="1"/>
      <c r="F8" s="15" t="s">
        <v>8</v>
      </c>
      <c r="G8" s="16">
        <f>+(G6*0.5)+(G7*0.5)</f>
        <v>217.4910252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>
        <v>1.0</v>
      </c>
      <c r="D9" s="1" t="s">
        <v>9</v>
      </c>
      <c r="E9" s="1"/>
      <c r="F9" s="11" t="s">
        <v>10</v>
      </c>
      <c r="G9" s="17">
        <f>+G8/C6-1</f>
        <v>0.4203031751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>
        <v>2.0</v>
      </c>
      <c r="D10" s="1" t="s">
        <v>11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>
        <v>3.0</v>
      </c>
      <c r="D11" s="1" t="s">
        <v>12</v>
      </c>
      <c r="E11" s="1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30.71"/>
    <col customWidth="1" min="3" max="8" width="10.71"/>
    <col customWidth="1" min="9" max="9" width="4.71"/>
    <col customWidth="1" min="10" max="12" width="12.71"/>
    <col customWidth="1" min="13" max="13" width="4.71"/>
    <col customWidth="1" min="14" max="16" width="12.71"/>
    <col customWidth="1" min="17" max="26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9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5" t="s">
        <v>14</v>
      </c>
      <c r="C4" s="14" t="str">
        <f>+Master!$D$8</f>
        <v>Base</v>
      </c>
      <c r="D4" s="14">
        <f>+Master!$C$8</f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9" t="s">
        <v>15</v>
      </c>
      <c r="C6" s="20" t="s">
        <v>16</v>
      </c>
      <c r="D6" s="21"/>
      <c r="E6" s="21"/>
      <c r="F6" s="21"/>
      <c r="G6" s="21"/>
      <c r="H6" s="21"/>
      <c r="I6" s="1"/>
      <c r="J6" s="22" t="s">
        <v>17</v>
      </c>
      <c r="K6" s="23"/>
      <c r="L6" s="23"/>
      <c r="M6" s="1"/>
      <c r="N6" s="22" t="s">
        <v>18</v>
      </c>
      <c r="O6" s="23"/>
      <c r="P6" s="23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5"/>
      <c r="C7" s="24">
        <v>44828.0</v>
      </c>
      <c r="D7" s="24">
        <f t="shared" ref="D7:H7" si="1">+EOMONTH(C7,12)</f>
        <v>45199</v>
      </c>
      <c r="E7" s="24">
        <f t="shared" si="1"/>
        <v>45565</v>
      </c>
      <c r="F7" s="24">
        <f t="shared" si="1"/>
        <v>45930</v>
      </c>
      <c r="G7" s="24">
        <f t="shared" si="1"/>
        <v>46295</v>
      </c>
      <c r="H7" s="24">
        <f t="shared" si="1"/>
        <v>46660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" t="s">
        <v>19</v>
      </c>
      <c r="C8" s="25">
        <f>'Operating Build'!F6</f>
        <v>3624.77</v>
      </c>
      <c r="D8" s="25">
        <f>'Operating Build'!G6</f>
        <v>3942.77795</v>
      </c>
      <c r="E8" s="25">
        <f>'Operating Build'!H6</f>
        <v>4218.622872</v>
      </c>
      <c r="F8" s="25">
        <f>'Operating Build'!I6</f>
        <v>4453.900687</v>
      </c>
      <c r="G8" s="25">
        <f>'Operating Build'!J6</f>
        <v>4703.295521</v>
      </c>
      <c r="H8" s="25">
        <f>'Operating Build'!K6</f>
        <v>4920.967559</v>
      </c>
      <c r="I8" s="1"/>
      <c r="J8" s="26" t="s">
        <v>20</v>
      </c>
      <c r="K8" s="27"/>
      <c r="L8" s="28"/>
      <c r="M8" s="1"/>
      <c r="N8" s="26" t="s">
        <v>20</v>
      </c>
      <c r="O8" s="27"/>
      <c r="P8" s="28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9" t="s">
        <v>21</v>
      </c>
      <c r="C9" s="17">
        <f>'Operating Build'!F7</f>
        <v>0.1714580456</v>
      </c>
      <c r="D9" s="17">
        <f>'Operating Build'!G7</f>
        <v>0.08773189747</v>
      </c>
      <c r="E9" s="17">
        <f>'Operating Build'!H7</f>
        <v>0.06996207383</v>
      </c>
      <c r="F9" s="17">
        <f>'Operating Build'!I7</f>
        <v>0.05577123665</v>
      </c>
      <c r="G9" s="17">
        <f>'Operating Build'!J7</f>
        <v>0.05599470036</v>
      </c>
      <c r="H9" s="17">
        <f>'Operating Build'!K7</f>
        <v>0.04628074877</v>
      </c>
      <c r="I9" s="1"/>
      <c r="J9" s="30" t="s">
        <v>22</v>
      </c>
      <c r="K9" s="31"/>
      <c r="L9" s="32">
        <f>H12</f>
        <v>1589.472522</v>
      </c>
      <c r="M9" s="1"/>
      <c r="N9" s="30" t="s">
        <v>23</v>
      </c>
      <c r="O9" s="31"/>
      <c r="P9" s="32">
        <f>H25</f>
        <v>1378.877167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1" t="s">
        <v>24</v>
      </c>
      <c r="C10" s="33">
        <f>'Operating Build'!F9+'Operating Build'!F17</f>
        <v>-3262.293</v>
      </c>
      <c r="D10" s="33">
        <f>'Operating Build'!G9+'Operating Build'!G17</f>
        <v>-3489.358486</v>
      </c>
      <c r="E10" s="33">
        <f>'Operating Build'!H9+'Operating Build'!H17</f>
        <v>-3670.201899</v>
      </c>
      <c r="F10" s="33">
        <f>'Operating Build'!I9+'Operating Build'!I17</f>
        <v>-3808.085087</v>
      </c>
      <c r="G10" s="33">
        <f>'Operating Build'!J9+'Operating Build'!J17</f>
        <v>-3950.768238</v>
      </c>
      <c r="H10" s="33">
        <f>'Operating Build'!K9+'Operating Build'!K17</f>
        <v>-4059.798236</v>
      </c>
      <c r="I10" s="1"/>
      <c r="J10" s="34" t="s">
        <v>25</v>
      </c>
      <c r="K10" s="1"/>
      <c r="L10" s="35">
        <f>Comps!I13</f>
        <v>10.835</v>
      </c>
      <c r="M10" s="1"/>
      <c r="N10" s="34" t="s">
        <v>26</v>
      </c>
      <c r="O10" s="1"/>
      <c r="P10" s="36">
        <v>0.01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1" t="s">
        <v>27</v>
      </c>
      <c r="C11" s="33">
        <f>'Operating Build'!F22+'Operating Build'!F23</f>
        <v>536.46596</v>
      </c>
      <c r="D11" s="33">
        <f>'Operating Build'!G22+'Operating Build'!G23</f>
        <v>583.5311366</v>
      </c>
      <c r="E11" s="33">
        <f>'Operating Build'!H22+'Operating Build'!H23</f>
        <v>624.3561851</v>
      </c>
      <c r="F11" s="33">
        <f>'Operating Build'!I22+'Operating Build'!I23</f>
        <v>659.1773016</v>
      </c>
      <c r="G11" s="33">
        <f>'Operating Build'!J22+'Operating Build'!J23</f>
        <v>696.0877371</v>
      </c>
      <c r="H11" s="33">
        <f>'Operating Build'!K22+'Operating Build'!K23</f>
        <v>728.3031988</v>
      </c>
      <c r="I11" s="1"/>
      <c r="J11" s="37" t="s">
        <v>28</v>
      </c>
      <c r="K11" s="1"/>
      <c r="L11" s="38">
        <f>L9*L10</f>
        <v>17221.93477</v>
      </c>
      <c r="M11" s="1"/>
      <c r="N11" s="37" t="s">
        <v>28</v>
      </c>
      <c r="O11" s="1"/>
      <c r="P11" s="38">
        <f>(P9*(1+P10))/(F30-P10)</f>
        <v>22652.37406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2" t="s">
        <v>29</v>
      </c>
      <c r="C12" s="25">
        <f t="shared" ref="C12:H12" si="2">SUM(C8,C10,C11)</f>
        <v>898.94296</v>
      </c>
      <c r="D12" s="25">
        <f t="shared" si="2"/>
        <v>1036.950601</v>
      </c>
      <c r="E12" s="25">
        <f t="shared" si="2"/>
        <v>1172.777158</v>
      </c>
      <c r="F12" s="25">
        <f t="shared" si="2"/>
        <v>1304.992901</v>
      </c>
      <c r="G12" s="25">
        <f t="shared" si="2"/>
        <v>1448.61502</v>
      </c>
      <c r="H12" s="25">
        <f t="shared" si="2"/>
        <v>1589.472522</v>
      </c>
      <c r="I12" s="1"/>
      <c r="J12" s="34" t="s">
        <v>30</v>
      </c>
      <c r="K12" s="1"/>
      <c r="L12" s="39">
        <f>+H26</f>
        <v>5</v>
      </c>
      <c r="M12" s="1"/>
      <c r="N12" s="34" t="s">
        <v>30</v>
      </c>
      <c r="O12" s="1"/>
      <c r="P12" s="39">
        <f>+H26</f>
        <v>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29" t="s">
        <v>31</v>
      </c>
      <c r="C13" s="17">
        <f>'Operating Build'!F25</f>
        <v>0.248</v>
      </c>
      <c r="D13" s="17">
        <f>'Operating Build'!G25</f>
        <v>0.263</v>
      </c>
      <c r="E13" s="17">
        <f>'Operating Build'!H25</f>
        <v>0.278</v>
      </c>
      <c r="F13" s="17">
        <f>'Operating Build'!I25</f>
        <v>0.293</v>
      </c>
      <c r="G13" s="17">
        <f>'Operating Build'!J25</f>
        <v>0.308</v>
      </c>
      <c r="H13" s="17">
        <f>'Operating Build'!K25</f>
        <v>0.323</v>
      </c>
      <c r="I13" s="1"/>
      <c r="J13" s="40" t="s">
        <v>32</v>
      </c>
      <c r="K13" s="23"/>
      <c r="L13" s="41">
        <f>L11/(1+F30)^L12</f>
        <v>12194.43759</v>
      </c>
      <c r="M13" s="1"/>
      <c r="N13" s="40" t="s">
        <v>32</v>
      </c>
      <c r="O13" s="23"/>
      <c r="P13" s="41">
        <f>P11/(1+F30)^P12</f>
        <v>16039.60098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1" t="s">
        <v>33</v>
      </c>
      <c r="C14" s="33">
        <f>'Operating Build'!F27</f>
        <v>-536.46596</v>
      </c>
      <c r="D14" s="33">
        <f>'Operating Build'!G27</f>
        <v>-583.5311366</v>
      </c>
      <c r="E14" s="33">
        <f>'Operating Build'!H27</f>
        <v>-624.3561851</v>
      </c>
      <c r="F14" s="33">
        <f>'Operating Build'!I27</f>
        <v>-659.1773016</v>
      </c>
      <c r="G14" s="33">
        <f>'Operating Build'!J27</f>
        <v>-696.0877371</v>
      </c>
      <c r="H14" s="33">
        <f>'Operating Build'!K27</f>
        <v>-728.3031988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 t="s">
        <v>34</v>
      </c>
      <c r="C15" s="25">
        <f t="shared" ref="C15:H15" si="3">SUM(C12,C14)</f>
        <v>362.477</v>
      </c>
      <c r="D15" s="25">
        <f t="shared" si="3"/>
        <v>453.4194642</v>
      </c>
      <c r="E15" s="25">
        <f t="shared" si="3"/>
        <v>548.4209734</v>
      </c>
      <c r="F15" s="25">
        <f t="shared" si="3"/>
        <v>645.8155996</v>
      </c>
      <c r="G15" s="25">
        <f t="shared" si="3"/>
        <v>752.5272834</v>
      </c>
      <c r="H15" s="25">
        <f t="shared" si="3"/>
        <v>861.1693229</v>
      </c>
      <c r="I15" s="1"/>
      <c r="J15" s="26" t="s">
        <v>35</v>
      </c>
      <c r="K15" s="27"/>
      <c r="L15" s="28"/>
      <c r="M15" s="1"/>
      <c r="N15" s="26" t="s">
        <v>35</v>
      </c>
      <c r="O15" s="27"/>
      <c r="P15" s="2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29" t="s">
        <v>31</v>
      </c>
      <c r="C16" s="17">
        <f>'Operating Build'!F20</f>
        <v>0.1</v>
      </c>
      <c r="D16" s="17">
        <f>'Operating Build'!G20</f>
        <v>0.115</v>
      </c>
      <c r="E16" s="17">
        <f>'Operating Build'!H20</f>
        <v>0.13</v>
      </c>
      <c r="F16" s="17">
        <f>'Operating Build'!I20</f>
        <v>0.145</v>
      </c>
      <c r="G16" s="17">
        <f>'Operating Build'!J20</f>
        <v>0.16</v>
      </c>
      <c r="H16" s="17">
        <f>'Operating Build'!K20</f>
        <v>0.175</v>
      </c>
      <c r="I16" s="1"/>
      <c r="J16" s="34" t="s">
        <v>36</v>
      </c>
      <c r="K16" s="1"/>
      <c r="L16" s="42">
        <f>+SUM($D$28:$H$28)</f>
        <v>4464.990205</v>
      </c>
      <c r="M16" s="1"/>
      <c r="N16" s="34" t="s">
        <v>36</v>
      </c>
      <c r="O16" s="1"/>
      <c r="P16" s="42">
        <f>+SUM($D$28:$H$28)</f>
        <v>4464.990205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1" t="s">
        <v>37</v>
      </c>
      <c r="C17" s="33">
        <f t="shared" ref="C17:H17" si="4">-C18*C15</f>
        <v>-76.12017</v>
      </c>
      <c r="D17" s="33">
        <f t="shared" si="4"/>
        <v>-95.21808749</v>
      </c>
      <c r="E17" s="33">
        <f t="shared" si="4"/>
        <v>-115.1684044</v>
      </c>
      <c r="F17" s="33">
        <f t="shared" si="4"/>
        <v>-135.6212759</v>
      </c>
      <c r="G17" s="33">
        <f t="shared" si="4"/>
        <v>-158.0307295</v>
      </c>
      <c r="H17" s="33">
        <f t="shared" si="4"/>
        <v>-180.8455578</v>
      </c>
      <c r="I17" s="1"/>
      <c r="J17" s="34" t="s">
        <v>38</v>
      </c>
      <c r="K17" s="1"/>
      <c r="L17" s="42">
        <f>+L13</f>
        <v>12194.43759</v>
      </c>
      <c r="M17" s="1"/>
      <c r="N17" s="34" t="s">
        <v>38</v>
      </c>
      <c r="O17" s="1"/>
      <c r="P17" s="42">
        <f>+P13</f>
        <v>16039.60098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29" t="s">
        <v>39</v>
      </c>
      <c r="C18" s="17">
        <f>'Operating Build'!F33</f>
        <v>0.21</v>
      </c>
      <c r="D18" s="17">
        <f>'Operating Build'!G33</f>
        <v>0.21</v>
      </c>
      <c r="E18" s="17">
        <f>'Operating Build'!H33</f>
        <v>0.21</v>
      </c>
      <c r="F18" s="17">
        <f>'Operating Build'!I33</f>
        <v>0.21</v>
      </c>
      <c r="G18" s="17">
        <f>'Operating Build'!J33</f>
        <v>0.21</v>
      </c>
      <c r="H18" s="17">
        <f>'Operating Build'!K33</f>
        <v>0.21</v>
      </c>
      <c r="I18" s="1"/>
      <c r="J18" s="37" t="s">
        <v>40</v>
      </c>
      <c r="K18" s="1"/>
      <c r="L18" s="38">
        <f>+L16+L17</f>
        <v>16659.4278</v>
      </c>
      <c r="M18" s="1"/>
      <c r="N18" s="37" t="s">
        <v>40</v>
      </c>
      <c r="O18" s="1"/>
      <c r="P18" s="38">
        <f>+P16+P17</f>
        <v>20504.59118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" t="s">
        <v>41</v>
      </c>
      <c r="C19" s="25">
        <f t="shared" ref="C19:H19" si="5">SUM(C15,C17)</f>
        <v>286.35683</v>
      </c>
      <c r="D19" s="25">
        <f t="shared" si="5"/>
        <v>358.2013768</v>
      </c>
      <c r="E19" s="25">
        <f t="shared" si="5"/>
        <v>433.252569</v>
      </c>
      <c r="F19" s="25">
        <f t="shared" si="5"/>
        <v>510.1943236</v>
      </c>
      <c r="G19" s="25">
        <f t="shared" si="5"/>
        <v>594.4965539</v>
      </c>
      <c r="H19" s="25">
        <f t="shared" si="5"/>
        <v>680.3237651</v>
      </c>
      <c r="I19" s="1"/>
      <c r="J19" s="34" t="s">
        <v>42</v>
      </c>
      <c r="K19" s="1"/>
      <c r="L19" s="43">
        <f>+L16/L18</f>
        <v>0.2680158202</v>
      </c>
      <c r="M19" s="1"/>
      <c r="N19" s="34" t="s">
        <v>42</v>
      </c>
      <c r="O19" s="1"/>
      <c r="P19" s="43">
        <f>+P16/P18</f>
        <v>0.2177556317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1" t="s">
        <v>27</v>
      </c>
      <c r="C20" s="33">
        <f>'Operating Build'!F22+'Operating Build'!F23</f>
        <v>536.46596</v>
      </c>
      <c r="D20" s="33">
        <f>'Operating Build'!G22+'Operating Build'!G23</f>
        <v>583.5311366</v>
      </c>
      <c r="E20" s="33">
        <f>'Operating Build'!H22+'Operating Build'!H23</f>
        <v>624.3561851</v>
      </c>
      <c r="F20" s="33">
        <f>'Operating Build'!I22+'Operating Build'!I23</f>
        <v>659.1773016</v>
      </c>
      <c r="G20" s="33">
        <f>'Operating Build'!J22+'Operating Build'!J23</f>
        <v>696.0877371</v>
      </c>
      <c r="H20" s="33">
        <f>'Operating Build'!K22+'Operating Build'!K23</f>
        <v>728.3031988</v>
      </c>
      <c r="I20" s="1"/>
      <c r="J20" s="34" t="s">
        <v>43</v>
      </c>
      <c r="K20" s="1"/>
      <c r="L20" s="43">
        <f>+L17/L18</f>
        <v>0.7319841798</v>
      </c>
      <c r="M20" s="1"/>
      <c r="N20" s="34" t="s">
        <v>43</v>
      </c>
      <c r="O20" s="1"/>
      <c r="P20" s="43">
        <f>+P17/P18</f>
        <v>0.7822443683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1" t="s">
        <v>44</v>
      </c>
      <c r="C21" s="33">
        <f>'Operating Build'!F39</f>
        <v>-36.2477</v>
      </c>
      <c r="D21" s="33">
        <f>'Operating Build'!G39</f>
        <v>-39.4277795</v>
      </c>
      <c r="E21" s="33">
        <f>'Operating Build'!H39</f>
        <v>-42.18622872</v>
      </c>
      <c r="F21" s="33">
        <f>'Operating Build'!I39</f>
        <v>-44.53900687</v>
      </c>
      <c r="G21" s="33">
        <f>'Operating Build'!J39</f>
        <v>-47.03295521</v>
      </c>
      <c r="H21" s="33">
        <f>'Operating Build'!K39</f>
        <v>-49.20967559</v>
      </c>
      <c r="I21" s="1"/>
      <c r="J21" s="44" t="s">
        <v>40</v>
      </c>
      <c r="K21" s="23"/>
      <c r="L21" s="45">
        <f>+L19+L20</f>
        <v>1</v>
      </c>
      <c r="M21" s="1"/>
      <c r="N21" s="44" t="s">
        <v>40</v>
      </c>
      <c r="O21" s="23"/>
      <c r="P21" s="45">
        <f>+P19+P20</f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1" t="s">
        <v>45</v>
      </c>
      <c r="C22" s="33">
        <f>-'Operating Build'!F57</f>
        <v>-575.2618171</v>
      </c>
      <c r="D22" s="33">
        <f>-'Operating Build'!G57</f>
        <v>-64.14766112</v>
      </c>
      <c r="E22" s="33">
        <f>-'Operating Build'!H57</f>
        <v>-33.62907526</v>
      </c>
      <c r="F22" s="33">
        <f>-'Operating Build'!I57</f>
        <v>-6.331275866</v>
      </c>
      <c r="G22" s="33">
        <f>-'Operating Build'!J57</f>
        <v>-1.967099142</v>
      </c>
      <c r="H22" s="33">
        <f>-'Operating Build'!K57</f>
        <v>19.45987916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" t="s">
        <v>46</v>
      </c>
      <c r="C23" s="25">
        <f t="shared" ref="C23:H23" si="6">SUM(C19:C22)</f>
        <v>211.3132729</v>
      </c>
      <c r="D23" s="25">
        <f t="shared" si="6"/>
        <v>838.1570727</v>
      </c>
      <c r="E23" s="25">
        <f t="shared" si="6"/>
        <v>981.79345</v>
      </c>
      <c r="F23" s="25">
        <f t="shared" si="6"/>
        <v>1118.501343</v>
      </c>
      <c r="G23" s="25">
        <f t="shared" si="6"/>
        <v>1241.584237</v>
      </c>
      <c r="H23" s="25">
        <f t="shared" si="6"/>
        <v>1378.877167</v>
      </c>
      <c r="I23" s="1"/>
      <c r="J23" s="26" t="s">
        <v>47</v>
      </c>
      <c r="K23" s="27"/>
      <c r="L23" s="28"/>
      <c r="M23" s="1"/>
      <c r="N23" s="26" t="s">
        <v>47</v>
      </c>
      <c r="O23" s="27"/>
      <c r="P23" s="2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1" t="s">
        <v>48</v>
      </c>
      <c r="C24" s="33"/>
      <c r="D24" s="33"/>
      <c r="E24" s="33"/>
      <c r="F24" s="33"/>
      <c r="G24" s="33"/>
      <c r="H24" s="33"/>
      <c r="I24" s="1"/>
      <c r="J24" s="46" t="s">
        <v>49</v>
      </c>
      <c r="K24" s="8"/>
      <c r="L24" s="41">
        <f>+L18</f>
        <v>16659.4278</v>
      </c>
      <c r="M24" s="1"/>
      <c r="N24" s="46" t="s">
        <v>49</v>
      </c>
      <c r="O24" s="8"/>
      <c r="P24" s="41">
        <f>+P18</f>
        <v>20504.59118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2" t="s">
        <v>50</v>
      </c>
      <c r="C25" s="25">
        <f t="shared" ref="C25:H25" si="7">C23</f>
        <v>211.3132729</v>
      </c>
      <c r="D25" s="25">
        <f t="shared" si="7"/>
        <v>838.1570727</v>
      </c>
      <c r="E25" s="25">
        <f t="shared" si="7"/>
        <v>981.79345</v>
      </c>
      <c r="F25" s="25">
        <f t="shared" si="7"/>
        <v>1118.501343</v>
      </c>
      <c r="G25" s="25">
        <f t="shared" si="7"/>
        <v>1241.584237</v>
      </c>
      <c r="H25" s="25">
        <f t="shared" si="7"/>
        <v>1378.877167</v>
      </c>
      <c r="I25" s="1"/>
      <c r="J25" s="47" t="s">
        <v>51</v>
      </c>
      <c r="K25" s="1"/>
      <c r="L25" s="48">
        <v>-5726.8</v>
      </c>
      <c r="M25" s="1"/>
      <c r="N25" s="47" t="s">
        <v>51</v>
      </c>
      <c r="O25" s="1"/>
      <c r="P25" s="48">
        <v>-5726.8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1" t="s">
        <v>52</v>
      </c>
      <c r="C26" s="49">
        <v>0.0</v>
      </c>
      <c r="D26" s="49">
        <v>1.0</v>
      </c>
      <c r="E26" s="49">
        <v>2.0</v>
      </c>
      <c r="F26" s="49">
        <v>3.0</v>
      </c>
      <c r="G26" s="49">
        <v>4.0</v>
      </c>
      <c r="H26" s="49">
        <v>5.0</v>
      </c>
      <c r="I26" s="1"/>
      <c r="J26" s="47" t="s">
        <v>53</v>
      </c>
      <c r="K26" s="1"/>
      <c r="L26" s="48">
        <v>839.4</v>
      </c>
      <c r="M26" s="1"/>
      <c r="N26" s="47" t="s">
        <v>53</v>
      </c>
      <c r="O26" s="1"/>
      <c r="P26" s="48">
        <v>839.4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1" t="s">
        <v>54</v>
      </c>
      <c r="C27" s="49">
        <f t="shared" ref="C27:H27" si="8">1/(1+$F$30)^C26</f>
        <v>1</v>
      </c>
      <c r="D27" s="49">
        <f t="shared" si="8"/>
        <v>0.9332886131</v>
      </c>
      <c r="E27" s="49">
        <f t="shared" si="8"/>
        <v>0.8710276353</v>
      </c>
      <c r="F27" s="49">
        <f t="shared" si="8"/>
        <v>0.8129201737</v>
      </c>
      <c r="G27" s="49">
        <f t="shared" si="8"/>
        <v>0.7586891415</v>
      </c>
      <c r="H27" s="49">
        <f t="shared" si="8"/>
        <v>0.7080759366</v>
      </c>
      <c r="I27" s="1"/>
      <c r="J27" s="46" t="s">
        <v>55</v>
      </c>
      <c r="K27" s="8"/>
      <c r="L27" s="38">
        <f>+L24+L25+L26</f>
        <v>11772.0278</v>
      </c>
      <c r="M27" s="1"/>
      <c r="N27" s="46" t="s">
        <v>55</v>
      </c>
      <c r="O27" s="8"/>
      <c r="P27" s="38">
        <f>+P24+P25+P26</f>
        <v>15617.19118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" t="s">
        <v>56</v>
      </c>
      <c r="C28" s="25"/>
      <c r="D28" s="25">
        <f t="shared" ref="D28:H28" si="9">D25*D27</f>
        <v>782.242452</v>
      </c>
      <c r="E28" s="25">
        <f t="shared" si="9"/>
        <v>855.1692271</v>
      </c>
      <c r="F28" s="25">
        <f t="shared" si="9"/>
        <v>909.2523057</v>
      </c>
      <c r="G28" s="25">
        <f t="shared" si="9"/>
        <v>941.9764785</v>
      </c>
      <c r="H28" s="25">
        <f t="shared" si="9"/>
        <v>976.3497418</v>
      </c>
      <c r="I28" s="1"/>
      <c r="J28" s="47" t="s">
        <v>57</v>
      </c>
      <c r="K28" s="1"/>
      <c r="L28" s="50">
        <v>62.96632</v>
      </c>
      <c r="M28" s="1"/>
      <c r="N28" s="47" t="s">
        <v>57</v>
      </c>
      <c r="O28" s="1"/>
      <c r="P28" s="50">
        <v>62.96632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37" t="s">
        <v>58</v>
      </c>
      <c r="K29" s="8"/>
      <c r="L29" s="51">
        <f>L27/L28</f>
        <v>186.9575322</v>
      </c>
      <c r="M29" s="1"/>
      <c r="N29" s="37" t="s">
        <v>58</v>
      </c>
      <c r="O29" s="8"/>
      <c r="P29" s="51">
        <f>P27/P28</f>
        <v>248.0245182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52" t="s">
        <v>59</v>
      </c>
      <c r="C30" s="52"/>
      <c r="D30" s="53"/>
      <c r="E30" s="54"/>
      <c r="F30" s="55">
        <f>WACC!P28</f>
        <v>0.07147991092</v>
      </c>
      <c r="G30" s="1"/>
      <c r="H30" s="1"/>
      <c r="I30" s="1"/>
      <c r="J30" s="56" t="s">
        <v>10</v>
      </c>
      <c r="K30" s="23"/>
      <c r="L30" s="57">
        <f>+L29/Master!$C$6-1</f>
        <v>0.2209072827</v>
      </c>
      <c r="M30" s="1"/>
      <c r="N30" s="56" t="s">
        <v>10</v>
      </c>
      <c r="O30" s="23"/>
      <c r="P30" s="57">
        <f>+P29/Master!$C$6-1</f>
        <v>0.6196990676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2" t="s">
        <v>60</v>
      </c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8" t="s">
        <v>17</v>
      </c>
      <c r="C35" s="1"/>
      <c r="D35" s="14" t="s">
        <v>61</v>
      </c>
      <c r="I35" s="1"/>
      <c r="J35" s="1"/>
      <c r="L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8"/>
      <c r="C36" s="59">
        <f>L29</f>
        <v>186.9575322</v>
      </c>
      <c r="D36" s="60">
        <v>0.0515</v>
      </c>
      <c r="E36" s="60">
        <v>0.0615</v>
      </c>
      <c r="F36" s="60">
        <v>0.0715</v>
      </c>
      <c r="G36" s="60">
        <v>0.0815</v>
      </c>
      <c r="H36" s="60">
        <v>0.0915</v>
      </c>
      <c r="I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61" t="s">
        <v>62</v>
      </c>
      <c r="C37" s="62">
        <v>9.5</v>
      </c>
      <c r="D37" s="12">
        <v>184.1490253447404</v>
      </c>
      <c r="E37" s="12">
        <v>173.327175358671</v>
      </c>
      <c r="F37" s="12">
        <v>163.07554160657764</v>
      </c>
      <c r="G37" s="12">
        <v>153.35869566410756</v>
      </c>
      <c r="H37" s="12">
        <v>144.14372328008872</v>
      </c>
      <c r="I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C38" s="62">
        <v>10.0</v>
      </c>
      <c r="D38" s="12">
        <v>193.96804956808256</v>
      </c>
      <c r="E38" s="63">
        <v>182.6923250619393</v>
      </c>
      <c r="F38" s="64">
        <v>172.01176135042974</v>
      </c>
      <c r="G38" s="65">
        <v>161.889345149516</v>
      </c>
      <c r="H38" s="12">
        <v>152.2906913895837</v>
      </c>
      <c r="I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C39" s="62">
        <v>10.5</v>
      </c>
      <c r="D39" s="12">
        <v>203.78707379142466</v>
      </c>
      <c r="E39" s="66">
        <v>192.0574747652076</v>
      </c>
      <c r="F39" s="67">
        <v>180.94798109428183</v>
      </c>
      <c r="G39" s="68">
        <v>170.41999463492442</v>
      </c>
      <c r="H39" s="12">
        <v>160.43765949907865</v>
      </c>
      <c r="I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C40" s="62">
        <v>11.0</v>
      </c>
      <c r="D40" s="12">
        <v>213.60609801476676</v>
      </c>
      <c r="E40" s="69">
        <v>201.4226244684759</v>
      </c>
      <c r="F40" s="70">
        <v>189.88420083813392</v>
      </c>
      <c r="G40" s="71">
        <v>178.95064412033287</v>
      </c>
      <c r="H40" s="12">
        <v>168.58462760857364</v>
      </c>
      <c r="I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C41" s="62">
        <v>11.5</v>
      </c>
      <c r="D41" s="12">
        <v>223.4251222381089</v>
      </c>
      <c r="E41" s="12">
        <v>210.78777417174425</v>
      </c>
      <c r="F41" s="12">
        <v>198.820420581986</v>
      </c>
      <c r="G41" s="12">
        <v>187.48129360574126</v>
      </c>
      <c r="H41" s="12">
        <v>176.73159571806858</v>
      </c>
      <c r="I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8" t="s">
        <v>63</v>
      </c>
      <c r="C43" s="1"/>
      <c r="D43" s="14" t="s">
        <v>61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58"/>
      <c r="C44" s="59">
        <f>P29</f>
        <v>248.0245182</v>
      </c>
      <c r="D44" s="60">
        <v>0.0515</v>
      </c>
      <c r="E44" s="60">
        <v>0.0615</v>
      </c>
      <c r="F44" s="60">
        <v>0.0715</v>
      </c>
      <c r="G44" s="60">
        <v>0.0815</v>
      </c>
      <c r="H44" s="60">
        <v>0.0915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61" t="s">
        <v>26</v>
      </c>
      <c r="C45" s="72">
        <v>0.0</v>
      </c>
      <c r="D45" s="12">
        <v>328.38615829977283</v>
      </c>
      <c r="E45" s="12">
        <v>259.5950169539339</v>
      </c>
      <c r="F45" s="12">
        <v>210.13283419297326</v>
      </c>
      <c r="G45" s="12">
        <v>172.88103722583512</v>
      </c>
      <c r="H45" s="12">
        <v>143.83318350332416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C46" s="72">
        <v>0.005</v>
      </c>
      <c r="D46" s="12">
        <v>365.78774117592945</v>
      </c>
      <c r="E46" s="63">
        <v>284.4139847100169</v>
      </c>
      <c r="F46" s="64">
        <v>227.60275288932937</v>
      </c>
      <c r="G46" s="65">
        <v>185.71799561471903</v>
      </c>
      <c r="H46" s="12">
        <v>153.57982766357978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C47" s="72">
        <v>0.01</v>
      </c>
      <c r="D47" s="12">
        <v>412.2017536607987</v>
      </c>
      <c r="E47" s="66">
        <v>314.0521695061161</v>
      </c>
      <c r="F47" s="67">
        <v>247.9133087720848</v>
      </c>
      <c r="G47" s="68">
        <v>200.350332799251</v>
      </c>
      <c r="H47" s="12">
        <v>164.5223790827625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C48" s="72">
        <v>0.015</v>
      </c>
      <c r="D48" s="12">
        <v>471.33193394974154</v>
      </c>
      <c r="E48" s="69">
        <v>350.06415748417203</v>
      </c>
      <c r="F48" s="70">
        <v>271.8186533066553</v>
      </c>
      <c r="G48" s="71">
        <v>217.18302144010354</v>
      </c>
      <c r="H48" s="12">
        <v>176.89532938026971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C49" s="72">
        <v>0.02</v>
      </c>
      <c r="D49" s="12">
        <v>549.2336000446979</v>
      </c>
      <c r="E49" s="12">
        <v>394.7537329268199</v>
      </c>
      <c r="F49" s="12">
        <v>300.36581231395803</v>
      </c>
      <c r="G49" s="12">
        <v>236.75273262418423</v>
      </c>
      <c r="H49" s="12">
        <v>190.9987622368689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D35:H35"/>
    <mergeCell ref="B37:B41"/>
    <mergeCell ref="D43:H43"/>
    <mergeCell ref="B45:B49"/>
    <mergeCell ref="C6:H6"/>
    <mergeCell ref="J8:L8"/>
    <mergeCell ref="N8:P8"/>
    <mergeCell ref="J15:L15"/>
    <mergeCell ref="N15:P15"/>
    <mergeCell ref="J23:L23"/>
    <mergeCell ref="N23:P2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35.86"/>
    <col customWidth="1" min="2" max="5" width="8.71"/>
    <col customWidth="1" min="6" max="6" width="9.57"/>
    <col customWidth="1" min="7" max="7" width="9.86"/>
    <col customWidth="1" min="8" max="8" width="10.57"/>
    <col customWidth="1" min="9" max="9" width="11.29"/>
    <col customWidth="1" min="10" max="10" width="11.14"/>
    <col customWidth="1" min="11" max="11" width="11.43"/>
    <col customWidth="1" min="12" max="13" width="8.71"/>
    <col customWidth="1" min="14" max="14" width="30.43"/>
    <col customWidth="1" min="15" max="15" width="10.86"/>
    <col customWidth="1" min="16" max="16" width="10.29"/>
    <col customWidth="1" min="17" max="18" width="10.57"/>
    <col customWidth="1" min="19" max="26" width="8.71"/>
  </cols>
  <sheetData>
    <row r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74" t="s">
        <v>65</v>
      </c>
      <c r="B2" s="75" t="s">
        <v>66</v>
      </c>
      <c r="C2" s="75" t="s">
        <v>67</v>
      </c>
      <c r="D2" s="75" t="s">
        <v>68</v>
      </c>
      <c r="E2" s="75" t="s">
        <v>69</v>
      </c>
      <c r="F2" s="75" t="s">
        <v>70</v>
      </c>
      <c r="G2" s="75" t="s">
        <v>71</v>
      </c>
      <c r="H2" s="75" t="s">
        <v>72</v>
      </c>
      <c r="I2" s="75" t="s">
        <v>73</v>
      </c>
      <c r="J2" s="75" t="s">
        <v>74</v>
      </c>
      <c r="K2" s="75" t="s">
        <v>75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76" t="s">
        <v>76</v>
      </c>
      <c r="B3" s="77" t="s">
        <v>77</v>
      </c>
      <c r="C3" s="77" t="s">
        <v>77</v>
      </c>
      <c r="D3" s="77" t="s">
        <v>77</v>
      </c>
      <c r="E3" s="77" t="s">
        <v>77</v>
      </c>
      <c r="F3" s="77" t="s">
        <v>77</v>
      </c>
      <c r="G3" s="77" t="s">
        <v>77</v>
      </c>
      <c r="H3" s="77" t="s">
        <v>77</v>
      </c>
      <c r="I3" s="77" t="s">
        <v>77</v>
      </c>
      <c r="J3" s="77" t="s">
        <v>77</v>
      </c>
      <c r="K3" s="77" t="s">
        <v>77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>
      <c r="A4" s="78" t="s">
        <v>78</v>
      </c>
      <c r="B4" s="79"/>
      <c r="C4" s="79"/>
      <c r="D4" s="79"/>
      <c r="E4" s="79"/>
      <c r="F4" s="1"/>
      <c r="G4" s="1"/>
      <c r="H4" s="1"/>
      <c r="I4" s="1"/>
      <c r="J4" s="1"/>
      <c r="K4" s="1"/>
      <c r="L4" s="1"/>
      <c r="M4" s="1"/>
    </row>
    <row r="5">
      <c r="A5" s="79" t="s">
        <v>19</v>
      </c>
      <c r="B5" s="80">
        <v>1890.922</v>
      </c>
      <c r="C5" s="80">
        <v>2161.761</v>
      </c>
      <c r="D5" s="80">
        <v>2363.567</v>
      </c>
      <c r="E5" s="80">
        <v>3094.238</v>
      </c>
      <c r="F5" s="81">
        <f>SUM(Assumptions!G8,Assumptions!G14,Assumptions!G20,Assumptions!G26,Assumptions!G32)</f>
        <v>3624.77</v>
      </c>
      <c r="G5" s="81">
        <f>SUM(Assumptions!H8,Assumptions!H14,Assumptions!H20,Assumptions!H26,Assumptions!H32)</f>
        <v>3942.77795</v>
      </c>
      <c r="H5" s="81">
        <f>SUM(Assumptions!I8,Assumptions!I14,Assumptions!I20,Assumptions!I26,Assumptions!I32)</f>
        <v>4218.622872</v>
      </c>
      <c r="I5" s="81">
        <f>SUM(Assumptions!J8,Assumptions!J14,Assumptions!J20,Assumptions!J26,Assumptions!J32)</f>
        <v>4453.900687</v>
      </c>
      <c r="J5" s="81">
        <f>SUM(Assumptions!K8,Assumptions!K14,Assumptions!K20,Assumptions!K26,Assumptions!K32)</f>
        <v>4703.295521</v>
      </c>
      <c r="K5" s="81">
        <f>SUM(Assumptions!L8,Assumptions!L14,Assumptions!L20,Assumptions!L26,Assumptions!L32)</f>
        <v>4920.967559</v>
      </c>
      <c r="L5" s="1"/>
      <c r="M5" s="1"/>
    </row>
    <row r="6">
      <c r="A6" s="78" t="s">
        <v>79</v>
      </c>
      <c r="B6" s="82">
        <f t="shared" ref="B6:K6" si="1">B5</f>
        <v>1890.922</v>
      </c>
      <c r="C6" s="82">
        <f t="shared" si="1"/>
        <v>2161.761</v>
      </c>
      <c r="D6" s="82">
        <f t="shared" si="1"/>
        <v>2363.567</v>
      </c>
      <c r="E6" s="82">
        <f t="shared" si="1"/>
        <v>3094.238</v>
      </c>
      <c r="F6" s="82">
        <f t="shared" si="1"/>
        <v>3624.77</v>
      </c>
      <c r="G6" s="82">
        <f t="shared" si="1"/>
        <v>3942.77795</v>
      </c>
      <c r="H6" s="82">
        <f t="shared" si="1"/>
        <v>4218.622872</v>
      </c>
      <c r="I6" s="82">
        <f t="shared" si="1"/>
        <v>4453.900687</v>
      </c>
      <c r="J6" s="82">
        <f t="shared" si="1"/>
        <v>4703.295521</v>
      </c>
      <c r="K6" s="82">
        <f t="shared" si="1"/>
        <v>4920.967559</v>
      </c>
      <c r="L6" s="1"/>
      <c r="M6" s="1"/>
    </row>
    <row r="7">
      <c r="A7" s="83" t="s">
        <v>21</v>
      </c>
      <c r="B7" s="84"/>
      <c r="C7" s="85">
        <f t="shared" ref="C7:K7" si="2">C6/B6-1</f>
        <v>0.1432311856</v>
      </c>
      <c r="D7" s="85">
        <f t="shared" si="2"/>
        <v>0.09335259541</v>
      </c>
      <c r="E7" s="85">
        <f t="shared" si="2"/>
        <v>0.3091391105</v>
      </c>
      <c r="F7" s="85">
        <f t="shared" si="2"/>
        <v>0.1714580456</v>
      </c>
      <c r="G7" s="85">
        <f t="shared" si="2"/>
        <v>0.08773189747</v>
      </c>
      <c r="H7" s="85">
        <f t="shared" si="2"/>
        <v>0.06996207383</v>
      </c>
      <c r="I7" s="85">
        <f t="shared" si="2"/>
        <v>0.05577123665</v>
      </c>
      <c r="J7" s="85">
        <f t="shared" si="2"/>
        <v>0.05599470036</v>
      </c>
      <c r="K7" s="85">
        <f t="shared" si="2"/>
        <v>0.04628074877</v>
      </c>
      <c r="L7" s="1"/>
      <c r="M7" s="1"/>
    </row>
    <row r="8">
      <c r="A8" s="79"/>
      <c r="B8" s="86"/>
      <c r="C8" s="86"/>
      <c r="D8" s="86"/>
      <c r="E8" s="86"/>
      <c r="F8" s="33"/>
      <c r="G8" s="33"/>
      <c r="H8" s="33"/>
      <c r="I8" s="33"/>
      <c r="J8" s="33"/>
      <c r="K8" s="33"/>
      <c r="L8" s="1"/>
      <c r="M8" s="1"/>
    </row>
    <row r="9">
      <c r="A9" s="79" t="s">
        <v>80</v>
      </c>
      <c r="B9" s="80">
        <v>-121.544</v>
      </c>
      <c r="C9" s="80">
        <v>-127.93</v>
      </c>
      <c r="D9" s="80">
        <v>-148.917</v>
      </c>
      <c r="E9" s="80">
        <v>-440.76</v>
      </c>
      <c r="F9" s="81">
        <f>Assumptions!G38</f>
        <v>-652.4586</v>
      </c>
      <c r="G9" s="81">
        <f>Assumptions!H38</f>
        <v>-670.2722515</v>
      </c>
      <c r="H9" s="81">
        <f>Assumptions!I38</f>
        <v>-674.9796595</v>
      </c>
      <c r="I9" s="81">
        <f>Assumptions!J38</f>
        <v>-668.085103</v>
      </c>
      <c r="J9" s="81">
        <f>Assumptions!K38</f>
        <v>-658.4613729</v>
      </c>
      <c r="K9" s="81">
        <f>Assumptions!L38</f>
        <v>-639.7257827</v>
      </c>
      <c r="L9" s="1"/>
      <c r="M9" s="1"/>
    </row>
    <row r="10">
      <c r="A10" s="78" t="s">
        <v>81</v>
      </c>
      <c r="B10" s="82">
        <f t="shared" ref="B10:K10" si="3">B6+B9</f>
        <v>1769.378</v>
      </c>
      <c r="C10" s="82">
        <f t="shared" si="3"/>
        <v>2033.831</v>
      </c>
      <c r="D10" s="82">
        <f t="shared" si="3"/>
        <v>2214.65</v>
      </c>
      <c r="E10" s="82">
        <f t="shared" si="3"/>
        <v>2653.478</v>
      </c>
      <c r="F10" s="82">
        <f t="shared" si="3"/>
        <v>2972.3114</v>
      </c>
      <c r="G10" s="82">
        <f t="shared" si="3"/>
        <v>3272.505699</v>
      </c>
      <c r="H10" s="82">
        <f t="shared" si="3"/>
        <v>3543.643213</v>
      </c>
      <c r="I10" s="82">
        <f t="shared" si="3"/>
        <v>3785.815584</v>
      </c>
      <c r="J10" s="82">
        <f t="shared" si="3"/>
        <v>4044.834148</v>
      </c>
      <c r="K10" s="82">
        <f t="shared" si="3"/>
        <v>4281.241777</v>
      </c>
      <c r="L10" s="1"/>
      <c r="M10" s="1"/>
    </row>
    <row r="11">
      <c r="A11" s="83" t="s">
        <v>31</v>
      </c>
      <c r="B11" s="85">
        <f t="shared" ref="B11:K11" si="4">B10/B6</f>
        <v>0.9357223619</v>
      </c>
      <c r="C11" s="85">
        <f t="shared" si="4"/>
        <v>0.9408213951</v>
      </c>
      <c r="D11" s="85">
        <f t="shared" si="4"/>
        <v>0.9369948049</v>
      </c>
      <c r="E11" s="85">
        <f t="shared" si="4"/>
        <v>0.8575545902</v>
      </c>
      <c r="F11" s="85">
        <f t="shared" si="4"/>
        <v>0.82</v>
      </c>
      <c r="G11" s="85">
        <f t="shared" si="4"/>
        <v>0.83</v>
      </c>
      <c r="H11" s="85">
        <f t="shared" si="4"/>
        <v>0.84</v>
      </c>
      <c r="I11" s="85">
        <f t="shared" si="4"/>
        <v>0.85</v>
      </c>
      <c r="J11" s="85">
        <f t="shared" si="4"/>
        <v>0.86</v>
      </c>
      <c r="K11" s="85">
        <f t="shared" si="4"/>
        <v>0.87</v>
      </c>
      <c r="L11" s="1"/>
      <c r="M11" s="1"/>
    </row>
    <row r="12">
      <c r="A12" s="79"/>
      <c r="B12" s="86"/>
      <c r="C12" s="86"/>
      <c r="D12" s="86"/>
      <c r="E12" s="86"/>
      <c r="F12" s="33"/>
      <c r="G12" s="33"/>
      <c r="H12" s="33"/>
      <c r="I12" s="33"/>
      <c r="J12" s="33"/>
      <c r="K12" s="33"/>
      <c r="L12" s="1"/>
      <c r="M12" s="1"/>
    </row>
    <row r="13">
      <c r="A13" s="79" t="s">
        <v>82</v>
      </c>
      <c r="B13" s="80">
        <v>-683.53</v>
      </c>
      <c r="C13" s="80">
        <v>-736.942</v>
      </c>
      <c r="D13" s="80">
        <v>-854.233</v>
      </c>
      <c r="E13" s="80">
        <v>-1451.683</v>
      </c>
      <c r="F13" s="81">
        <f>Assumptions!G44</f>
        <v>-1413.6603</v>
      </c>
      <c r="G13" s="81">
        <f>Assumptions!H44</f>
        <v>-1517.969511</v>
      </c>
      <c r="H13" s="81">
        <f>Assumptions!I44</f>
        <v>-1603.076691</v>
      </c>
      <c r="I13" s="81">
        <f>Assumptions!J44</f>
        <v>-1670.212757</v>
      </c>
      <c r="J13" s="81">
        <f>Assumptions!K44</f>
        <v>-1740.219343</v>
      </c>
      <c r="K13" s="81">
        <f>Assumptions!L44</f>
        <v>-1796.153159</v>
      </c>
      <c r="L13" s="1"/>
      <c r="M13" s="1"/>
    </row>
    <row r="14">
      <c r="A14" s="79" t="s">
        <v>83</v>
      </c>
      <c r="B14" s="80">
        <v>-226.616</v>
      </c>
      <c r="C14" s="80">
        <v>-299.726</v>
      </c>
      <c r="D14" s="80">
        <v>-335.375</v>
      </c>
      <c r="E14" s="80">
        <v>-505.748</v>
      </c>
      <c r="F14" s="81">
        <f>Assumptions!G50</f>
        <v>-616.2109</v>
      </c>
      <c r="G14" s="81">
        <f>Assumptions!H50</f>
        <v>-670.2722515</v>
      </c>
      <c r="H14" s="81">
        <f>Assumptions!I50</f>
        <v>-717.1658882</v>
      </c>
      <c r="I14" s="81">
        <f>Assumptions!J50</f>
        <v>-757.1631167</v>
      </c>
      <c r="J14" s="81">
        <f>Assumptions!K50</f>
        <v>-799.5602386</v>
      </c>
      <c r="K14" s="81">
        <f>Assumptions!L50</f>
        <v>-836.5644851</v>
      </c>
      <c r="L14" s="1"/>
      <c r="M14" s="1"/>
    </row>
    <row r="15">
      <c r="A15" s="79" t="s">
        <v>84</v>
      </c>
      <c r="B15" s="80">
        <v>-201.498</v>
      </c>
      <c r="C15" s="80">
        <v>-354.814</v>
      </c>
      <c r="D15" s="80">
        <v>-259.58</v>
      </c>
      <c r="E15" s="80">
        <v>-525.769</v>
      </c>
      <c r="F15" s="81">
        <f>Assumptions!G56</f>
        <v>-507.4678</v>
      </c>
      <c r="G15" s="81">
        <f>Assumptions!H56</f>
        <v>-551.988913</v>
      </c>
      <c r="H15" s="81">
        <f>Assumptions!I56</f>
        <v>-590.6072021</v>
      </c>
      <c r="I15" s="81">
        <f>Assumptions!J56</f>
        <v>-623.5460961</v>
      </c>
      <c r="J15" s="81">
        <f>Assumptions!K56</f>
        <v>-658.4613729</v>
      </c>
      <c r="K15" s="81">
        <f>Assumptions!L56</f>
        <v>-688.9354583</v>
      </c>
      <c r="L15" s="1"/>
      <c r="M15" s="1"/>
    </row>
    <row r="16">
      <c r="A16" s="79" t="s">
        <v>85</v>
      </c>
      <c r="B16" s="80">
        <v>-42.896</v>
      </c>
      <c r="C16" s="80">
        <v>-109.975</v>
      </c>
      <c r="D16" s="80">
        <f>-387.4</f>
        <v>-387.4</v>
      </c>
      <c r="E16" s="80">
        <v>0.0</v>
      </c>
      <c r="F16" s="81">
        <f>Assumptions!G62</f>
        <v>-72.4954</v>
      </c>
      <c r="G16" s="81">
        <f>Assumptions!H62</f>
        <v>-78.855559</v>
      </c>
      <c r="H16" s="81">
        <f>Assumptions!I62</f>
        <v>-84.37245744</v>
      </c>
      <c r="I16" s="81">
        <f>Assumptions!J62</f>
        <v>-89.07801373</v>
      </c>
      <c r="J16" s="81">
        <f>Assumptions!K62</f>
        <v>-94.06591042</v>
      </c>
      <c r="K16" s="81">
        <f>Assumptions!L62</f>
        <v>-98.41935119</v>
      </c>
      <c r="L16" s="1"/>
      <c r="M16" s="1"/>
    </row>
    <row r="17">
      <c r="A17" s="78" t="s">
        <v>86</v>
      </c>
      <c r="B17" s="82">
        <f t="shared" ref="B17:K17" si="5">SUM(B13:B16)</f>
        <v>-1154.54</v>
      </c>
      <c r="C17" s="82">
        <f t="shared" si="5"/>
        <v>-1501.457</v>
      </c>
      <c r="D17" s="82">
        <f t="shared" si="5"/>
        <v>-1836.588</v>
      </c>
      <c r="E17" s="82">
        <f t="shared" si="5"/>
        <v>-2483.2</v>
      </c>
      <c r="F17" s="82">
        <f t="shared" si="5"/>
        <v>-2609.8344</v>
      </c>
      <c r="G17" s="82">
        <f t="shared" si="5"/>
        <v>-2819.086234</v>
      </c>
      <c r="H17" s="82">
        <f t="shared" si="5"/>
        <v>-2995.222239</v>
      </c>
      <c r="I17" s="82">
        <f t="shared" si="5"/>
        <v>-3139.999984</v>
      </c>
      <c r="J17" s="82">
        <f t="shared" si="5"/>
        <v>-3292.306865</v>
      </c>
      <c r="K17" s="82">
        <f t="shared" si="5"/>
        <v>-3420.072454</v>
      </c>
      <c r="L17" s="1"/>
      <c r="M17" s="1"/>
    </row>
    <row r="18">
      <c r="A18" s="79"/>
      <c r="B18" s="87"/>
      <c r="C18" s="87"/>
      <c r="D18" s="87"/>
      <c r="E18" s="87"/>
      <c r="F18" s="88"/>
      <c r="G18" s="88"/>
      <c r="H18" s="88"/>
      <c r="I18" s="88"/>
      <c r="J18" s="88"/>
      <c r="K18" s="88"/>
      <c r="L18" s="1"/>
      <c r="M18" s="1"/>
    </row>
    <row r="19">
      <c r="A19" s="78" t="s">
        <v>87</v>
      </c>
      <c r="B19" s="84">
        <f t="shared" ref="B19:K19" si="6">B10+B17</f>
        <v>614.838</v>
      </c>
      <c r="C19" s="84">
        <f t="shared" si="6"/>
        <v>532.374</v>
      </c>
      <c r="D19" s="84">
        <f t="shared" si="6"/>
        <v>378.062</v>
      </c>
      <c r="E19" s="84">
        <f t="shared" si="6"/>
        <v>170.278</v>
      </c>
      <c r="F19" s="84">
        <f t="shared" si="6"/>
        <v>362.477</v>
      </c>
      <c r="G19" s="84">
        <f t="shared" si="6"/>
        <v>453.4194642</v>
      </c>
      <c r="H19" s="84">
        <f t="shared" si="6"/>
        <v>548.4209734</v>
      </c>
      <c r="I19" s="84">
        <f t="shared" si="6"/>
        <v>645.8155996</v>
      </c>
      <c r="J19" s="84">
        <f t="shared" si="6"/>
        <v>752.5272834</v>
      </c>
      <c r="K19" s="84">
        <f t="shared" si="6"/>
        <v>861.1693229</v>
      </c>
      <c r="L19" s="1"/>
      <c r="M19" s="1"/>
    </row>
    <row r="20">
      <c r="A20" s="83" t="s">
        <v>31</v>
      </c>
      <c r="B20" s="85">
        <f t="shared" ref="B20:K20" si="7">B19/B6</f>
        <v>0.3251524917</v>
      </c>
      <c r="C20" s="85">
        <f t="shared" si="7"/>
        <v>0.2462686671</v>
      </c>
      <c r="D20" s="85">
        <f t="shared" si="7"/>
        <v>0.1599540017</v>
      </c>
      <c r="E20" s="85">
        <f t="shared" si="7"/>
        <v>0.05503067314</v>
      </c>
      <c r="F20" s="85">
        <f t="shared" si="7"/>
        <v>0.1</v>
      </c>
      <c r="G20" s="85">
        <f t="shared" si="7"/>
        <v>0.115</v>
      </c>
      <c r="H20" s="85">
        <f t="shared" si="7"/>
        <v>0.13</v>
      </c>
      <c r="I20" s="85">
        <f t="shared" si="7"/>
        <v>0.145</v>
      </c>
      <c r="J20" s="85">
        <f t="shared" si="7"/>
        <v>0.16</v>
      </c>
      <c r="K20" s="85">
        <f t="shared" si="7"/>
        <v>0.175</v>
      </c>
      <c r="L20" s="1"/>
      <c r="M20" s="1"/>
    </row>
    <row r="21" ht="15.75" customHeight="1">
      <c r="A21" s="78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1"/>
      <c r="M21" s="1"/>
    </row>
    <row r="22" ht="15.75" customHeight="1">
      <c r="A22" s="79" t="s">
        <v>88</v>
      </c>
      <c r="B22" s="80">
        <v>15.233</v>
      </c>
      <c r="C22" s="80">
        <v>15.342</v>
      </c>
      <c r="D22" s="80">
        <v>18.673</v>
      </c>
      <c r="E22" s="80">
        <v>26.714</v>
      </c>
      <c r="F22" s="81">
        <f>-Assumptions!G68</f>
        <v>28.99816</v>
      </c>
      <c r="G22" s="81">
        <f>-Assumptions!H68</f>
        <v>31.5422236</v>
      </c>
      <c r="H22" s="81">
        <f>-Assumptions!I68</f>
        <v>33.74898298</v>
      </c>
      <c r="I22" s="81">
        <f>-Assumptions!J68</f>
        <v>35.63120549</v>
      </c>
      <c r="J22" s="81">
        <f>-Assumptions!K68</f>
        <v>37.62636417</v>
      </c>
      <c r="K22" s="81">
        <f>-Assumptions!L68</f>
        <v>39.36774047</v>
      </c>
      <c r="L22" s="1"/>
      <c r="M22" s="1"/>
    </row>
    <row r="23" ht="15.75" customHeight="1">
      <c r="A23" s="79" t="s">
        <v>89</v>
      </c>
      <c r="B23" s="89">
        <v>201.498</v>
      </c>
      <c r="C23" s="89">
        <v>354.814</v>
      </c>
      <c r="D23" s="89">
        <v>259.58</v>
      </c>
      <c r="E23" s="89">
        <v>525.769</v>
      </c>
      <c r="F23" s="90">
        <f>-Assumptions!G56</f>
        <v>507.4678</v>
      </c>
      <c r="G23" s="90">
        <f>-Assumptions!H56</f>
        <v>551.988913</v>
      </c>
      <c r="H23" s="90">
        <f>-Assumptions!I56</f>
        <v>590.6072021</v>
      </c>
      <c r="I23" s="90">
        <f>-Assumptions!J56</f>
        <v>623.5460961</v>
      </c>
      <c r="J23" s="90">
        <f>-Assumptions!K56</f>
        <v>658.4613729</v>
      </c>
      <c r="K23" s="90">
        <f>-Assumptions!L56</f>
        <v>688.9354583</v>
      </c>
      <c r="L23" s="1"/>
      <c r="M23" s="1"/>
    </row>
    <row r="24" ht="15.75" customHeight="1">
      <c r="A24" s="78" t="s">
        <v>90</v>
      </c>
      <c r="B24" s="91">
        <f t="shared" ref="B24:K24" si="8">B19+B22+B23</f>
        <v>831.569</v>
      </c>
      <c r="C24" s="91">
        <f t="shared" si="8"/>
        <v>902.53</v>
      </c>
      <c r="D24" s="91">
        <f t="shared" si="8"/>
        <v>656.315</v>
      </c>
      <c r="E24" s="91">
        <f t="shared" si="8"/>
        <v>722.761</v>
      </c>
      <c r="F24" s="91">
        <f t="shared" si="8"/>
        <v>898.94296</v>
      </c>
      <c r="G24" s="91">
        <f t="shared" si="8"/>
        <v>1036.950601</v>
      </c>
      <c r="H24" s="91">
        <f t="shared" si="8"/>
        <v>1172.777158</v>
      </c>
      <c r="I24" s="91">
        <f t="shared" si="8"/>
        <v>1304.992901</v>
      </c>
      <c r="J24" s="91">
        <f t="shared" si="8"/>
        <v>1448.61502</v>
      </c>
      <c r="K24" s="91">
        <f t="shared" si="8"/>
        <v>1589.472522</v>
      </c>
      <c r="L24" s="1"/>
      <c r="M24" s="1"/>
    </row>
    <row r="25" ht="15.75" customHeight="1">
      <c r="A25" s="83" t="s">
        <v>31</v>
      </c>
      <c r="B25" s="92">
        <f t="shared" ref="B25:K25" si="9">B24/B6</f>
        <v>0.439769065</v>
      </c>
      <c r="C25" s="92">
        <f t="shared" si="9"/>
        <v>0.4174975865</v>
      </c>
      <c r="D25" s="92">
        <f t="shared" si="9"/>
        <v>0.2776798796</v>
      </c>
      <c r="E25" s="92">
        <f t="shared" si="9"/>
        <v>0.2335828724</v>
      </c>
      <c r="F25" s="92">
        <f t="shared" si="9"/>
        <v>0.248</v>
      </c>
      <c r="G25" s="92">
        <f t="shared" si="9"/>
        <v>0.263</v>
      </c>
      <c r="H25" s="92">
        <f t="shared" si="9"/>
        <v>0.278</v>
      </c>
      <c r="I25" s="92">
        <f t="shared" si="9"/>
        <v>0.293</v>
      </c>
      <c r="J25" s="92">
        <f t="shared" si="9"/>
        <v>0.308</v>
      </c>
      <c r="K25" s="92">
        <f t="shared" si="9"/>
        <v>0.323</v>
      </c>
      <c r="L25" s="1"/>
      <c r="M25" s="1"/>
    </row>
    <row r="26" ht="15.75" customHeight="1">
      <c r="A26" s="78"/>
      <c r="B26" s="86"/>
      <c r="C26" s="86"/>
      <c r="D26" s="86"/>
      <c r="E26" s="86"/>
      <c r="F26" s="33"/>
      <c r="G26" s="33"/>
      <c r="H26" s="33"/>
      <c r="I26" s="33"/>
      <c r="J26" s="33"/>
      <c r="K26" s="33"/>
      <c r="L26" s="1"/>
      <c r="M26" s="1"/>
    </row>
    <row r="27" ht="15.75" customHeight="1">
      <c r="A27" s="79" t="s">
        <v>91</v>
      </c>
      <c r="B27" s="86">
        <f t="shared" ref="B27:K27" si="10">-(B22+B23)</f>
        <v>-216.731</v>
      </c>
      <c r="C27" s="86">
        <f t="shared" si="10"/>
        <v>-370.156</v>
      </c>
      <c r="D27" s="86">
        <f t="shared" si="10"/>
        <v>-278.253</v>
      </c>
      <c r="E27" s="86">
        <f t="shared" si="10"/>
        <v>-552.483</v>
      </c>
      <c r="F27" s="86">
        <f t="shared" si="10"/>
        <v>-536.46596</v>
      </c>
      <c r="G27" s="86">
        <f t="shared" si="10"/>
        <v>-583.5311366</v>
      </c>
      <c r="H27" s="86">
        <f t="shared" si="10"/>
        <v>-624.3561851</v>
      </c>
      <c r="I27" s="86">
        <f t="shared" si="10"/>
        <v>-659.1773016</v>
      </c>
      <c r="J27" s="86">
        <f t="shared" si="10"/>
        <v>-696.0877371</v>
      </c>
      <c r="K27" s="86">
        <f t="shared" si="10"/>
        <v>-728.3031988</v>
      </c>
      <c r="L27" s="1"/>
      <c r="M27" s="1"/>
    </row>
    <row r="28" ht="15.75" customHeight="1">
      <c r="A28" s="79" t="s">
        <v>92</v>
      </c>
      <c r="B28" s="80">
        <v>-77.075</v>
      </c>
      <c r="C28" s="80">
        <v>-72.261</v>
      </c>
      <c r="D28" s="80">
        <v>-99.707</v>
      </c>
      <c r="E28" s="80">
        <v>-278.766</v>
      </c>
      <c r="F28" s="81">
        <f>Assumptions!G74</f>
        <v>-150</v>
      </c>
      <c r="G28" s="81">
        <f>Assumptions!H74</f>
        <v>-150</v>
      </c>
      <c r="H28" s="81">
        <f>Assumptions!I74</f>
        <v>-150</v>
      </c>
      <c r="I28" s="81">
        <f>Assumptions!J74</f>
        <v>-150</v>
      </c>
      <c r="J28" s="81">
        <f>Assumptions!K74</f>
        <v>-150</v>
      </c>
      <c r="K28" s="81">
        <f>Assumptions!L74</f>
        <v>-150</v>
      </c>
      <c r="L28" s="1"/>
      <c r="M28" s="1"/>
    </row>
    <row r="29" ht="15.75" customHeight="1">
      <c r="A29" s="79" t="s">
        <v>93</v>
      </c>
      <c r="B29" s="80">
        <v>-2.203</v>
      </c>
      <c r="C29" s="80">
        <v>-4.089</v>
      </c>
      <c r="D29" s="80">
        <v>-2.962</v>
      </c>
      <c r="E29" s="80">
        <v>-0.714</v>
      </c>
      <c r="F29" s="81">
        <f>Assumptions!G80</f>
        <v>-3</v>
      </c>
      <c r="G29" s="81">
        <f>Assumptions!H80</f>
        <v>-3</v>
      </c>
      <c r="H29" s="81">
        <f>Assumptions!I80</f>
        <v>-3</v>
      </c>
      <c r="I29" s="81">
        <f>Assumptions!J80</f>
        <v>-3</v>
      </c>
      <c r="J29" s="81">
        <f>Assumptions!K80</f>
        <v>-3</v>
      </c>
      <c r="K29" s="81">
        <f>Assumptions!L80</f>
        <v>-3</v>
      </c>
      <c r="L29" s="1"/>
      <c r="M29" s="1"/>
    </row>
    <row r="30" ht="15.75" customHeight="1">
      <c r="A30" s="79" t="s">
        <v>94</v>
      </c>
      <c r="B30" s="80">
        <v>-8.3</v>
      </c>
      <c r="C30" s="80">
        <v>-5.8</v>
      </c>
      <c r="D30" s="80">
        <v>-3.271</v>
      </c>
      <c r="E30" s="80">
        <v>-4.35</v>
      </c>
      <c r="F30" s="81">
        <f>Assumptions!G86</f>
        <v>-5.6</v>
      </c>
      <c r="G30" s="81">
        <f>Assumptions!H86</f>
        <v>-5.6</v>
      </c>
      <c r="H30" s="81">
        <f>Assumptions!I86</f>
        <v>-5.6</v>
      </c>
      <c r="I30" s="81">
        <f>Assumptions!J86</f>
        <v>-5.6</v>
      </c>
      <c r="J30" s="81">
        <f>Assumptions!K86</f>
        <v>-5.6</v>
      </c>
      <c r="K30" s="81">
        <f>Assumptions!L86</f>
        <v>-5.6</v>
      </c>
      <c r="L30" s="1"/>
      <c r="M30" s="1"/>
    </row>
    <row r="31" ht="15.75" customHeight="1">
      <c r="A31" s="78" t="s">
        <v>95</v>
      </c>
      <c r="B31" s="82">
        <f t="shared" ref="B31:K31" si="11">SUM(B24:B30)</f>
        <v>527.6997691</v>
      </c>
      <c r="C31" s="82">
        <f t="shared" si="11"/>
        <v>450.6414976</v>
      </c>
      <c r="D31" s="82">
        <f t="shared" si="11"/>
        <v>272.3996799</v>
      </c>
      <c r="E31" s="82">
        <f t="shared" si="11"/>
        <v>-113.3184171</v>
      </c>
      <c r="F31" s="82">
        <f t="shared" si="11"/>
        <v>204.125</v>
      </c>
      <c r="G31" s="82">
        <f t="shared" si="11"/>
        <v>295.0824642</v>
      </c>
      <c r="H31" s="82">
        <f t="shared" si="11"/>
        <v>390.0989734</v>
      </c>
      <c r="I31" s="82">
        <f t="shared" si="11"/>
        <v>487.5085996</v>
      </c>
      <c r="J31" s="82">
        <f t="shared" si="11"/>
        <v>594.2352834</v>
      </c>
      <c r="K31" s="82">
        <f t="shared" si="11"/>
        <v>702.8923229</v>
      </c>
      <c r="L31" s="1"/>
      <c r="M31" s="1"/>
    </row>
    <row r="32" ht="15.75" customHeight="1">
      <c r="A32" s="78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1"/>
      <c r="M32" s="1"/>
    </row>
    <row r="33" ht="15.75" customHeight="1">
      <c r="A33" s="79" t="s">
        <v>96</v>
      </c>
      <c r="B33" s="86"/>
      <c r="C33" s="86"/>
      <c r="D33" s="86"/>
      <c r="E33" s="86"/>
      <c r="F33" s="93">
        <f>Assumptions!G93</f>
        <v>0.21</v>
      </c>
      <c r="G33" s="93">
        <f>Assumptions!H93</f>
        <v>0.21</v>
      </c>
      <c r="H33" s="93">
        <f>Assumptions!I93</f>
        <v>0.21</v>
      </c>
      <c r="I33" s="93">
        <f>Assumptions!J93</f>
        <v>0.21</v>
      </c>
      <c r="J33" s="93">
        <f>Assumptions!K93</f>
        <v>0.21</v>
      </c>
      <c r="K33" s="93">
        <f>Assumptions!L93</f>
        <v>0.21</v>
      </c>
      <c r="L33" s="1"/>
      <c r="M33" s="1"/>
    </row>
    <row r="34" ht="15.75" customHeight="1">
      <c r="A34" s="79" t="s">
        <v>97</v>
      </c>
      <c r="B34" s="80">
        <v>-80.162</v>
      </c>
      <c r="C34" s="80">
        <v>73.154</v>
      </c>
      <c r="D34" s="80">
        <v>-33.517</v>
      </c>
      <c r="E34" s="80">
        <v>-216.116</v>
      </c>
      <c r="F34" s="33">
        <f t="shared" ref="F34:K34" si="12">-F31*F33</f>
        <v>-42.86625</v>
      </c>
      <c r="G34" s="33">
        <f t="shared" si="12"/>
        <v>-61.96731749</v>
      </c>
      <c r="H34" s="33">
        <f t="shared" si="12"/>
        <v>-81.92078441</v>
      </c>
      <c r="I34" s="33">
        <f t="shared" si="12"/>
        <v>-102.3768059</v>
      </c>
      <c r="J34" s="33">
        <f t="shared" si="12"/>
        <v>-124.7894095</v>
      </c>
      <c r="K34" s="33">
        <f t="shared" si="12"/>
        <v>-147.6073878</v>
      </c>
      <c r="L34" s="1"/>
      <c r="M34" s="1"/>
    </row>
    <row r="35" ht="15.75" customHeight="1">
      <c r="A35" s="78" t="s">
        <v>98</v>
      </c>
      <c r="B35" s="94">
        <f t="shared" ref="B35:K35" si="13">B31+B34</f>
        <v>447.5377691</v>
      </c>
      <c r="C35" s="94">
        <f t="shared" si="13"/>
        <v>523.7954976</v>
      </c>
      <c r="D35" s="94">
        <f t="shared" si="13"/>
        <v>238.8826799</v>
      </c>
      <c r="E35" s="94">
        <f t="shared" si="13"/>
        <v>-329.4344171</v>
      </c>
      <c r="F35" s="94">
        <f t="shared" si="13"/>
        <v>161.25875</v>
      </c>
      <c r="G35" s="94">
        <f t="shared" si="13"/>
        <v>233.1151468</v>
      </c>
      <c r="H35" s="94">
        <f t="shared" si="13"/>
        <v>308.178189</v>
      </c>
      <c r="I35" s="94">
        <f t="shared" si="13"/>
        <v>385.1317936</v>
      </c>
      <c r="J35" s="94">
        <f t="shared" si="13"/>
        <v>469.4458739</v>
      </c>
      <c r="K35" s="94">
        <f t="shared" si="13"/>
        <v>555.2849351</v>
      </c>
      <c r="L35" s="1"/>
      <c r="M35" s="1"/>
    </row>
    <row r="36" ht="15.75" customHeight="1"/>
    <row r="37" ht="15.75" customHeight="1"/>
    <row r="38" ht="15.75" customHeight="1"/>
    <row r="39" ht="15.75" customHeight="1">
      <c r="A39" s="78" t="s">
        <v>99</v>
      </c>
      <c r="B39" s="95">
        <v>-20.4</v>
      </c>
      <c r="C39" s="95">
        <v>-40.1</v>
      </c>
      <c r="D39" s="95">
        <v>-15.0</v>
      </c>
      <c r="E39" s="95">
        <v>-27.6</v>
      </c>
      <c r="F39" s="96">
        <f>Assumptions!G98</f>
        <v>-36.2477</v>
      </c>
      <c r="G39" s="96">
        <f>Assumptions!H98</f>
        <v>-39.4277795</v>
      </c>
      <c r="H39" s="96">
        <f>Assumptions!I98</f>
        <v>-42.18622872</v>
      </c>
      <c r="I39" s="96">
        <f>Assumptions!J98</f>
        <v>-44.53900687</v>
      </c>
      <c r="J39" s="96">
        <f>Assumptions!K98</f>
        <v>-47.03295521</v>
      </c>
      <c r="K39" s="96">
        <f>Assumptions!L98</f>
        <v>-49.20967559</v>
      </c>
    </row>
    <row r="40" ht="15.75" customHeight="1"/>
    <row r="41" ht="15.75" customHeight="1">
      <c r="A41" s="79" t="s">
        <v>100</v>
      </c>
      <c r="B41" s="97">
        <v>263.838</v>
      </c>
      <c r="C41" s="97">
        <v>355.987</v>
      </c>
      <c r="D41" s="97">
        <v>396.49</v>
      </c>
      <c r="E41" s="97">
        <v>563.36</v>
      </c>
      <c r="F41" s="86">
        <f t="shared" ref="F41:K41" si="14">E41*(1+F7)</f>
        <v>659.9526046</v>
      </c>
      <c r="G41" s="86">
        <f t="shared" si="14"/>
        <v>717.8514988</v>
      </c>
      <c r="H41" s="86">
        <f t="shared" si="14"/>
        <v>768.0738784</v>
      </c>
      <c r="I41" s="86">
        <f t="shared" si="14"/>
        <v>810.9103084</v>
      </c>
      <c r="J41" s="86">
        <f t="shared" si="14"/>
        <v>856.3169881</v>
      </c>
      <c r="K41" s="86">
        <f t="shared" si="14"/>
        <v>895.9479795</v>
      </c>
    </row>
    <row r="42" ht="15.75" customHeight="1">
      <c r="A42" s="79" t="s">
        <v>101</v>
      </c>
      <c r="B42" s="97">
        <v>52.956</v>
      </c>
      <c r="C42" s="97">
        <v>78.608</v>
      </c>
      <c r="D42" s="97">
        <v>95.396</v>
      </c>
      <c r="E42" s="97">
        <v>1072.721</v>
      </c>
      <c r="F42" s="86">
        <f t="shared" ref="F42:K42" si="15">E42*(F9/E9)</f>
        <v>1587.952722</v>
      </c>
      <c r="G42" s="86">
        <f t="shared" si="15"/>
        <v>1631.307559</v>
      </c>
      <c r="H42" s="86">
        <f t="shared" si="15"/>
        <v>1642.764442</v>
      </c>
      <c r="I42" s="86">
        <f t="shared" si="15"/>
        <v>1625.984481</v>
      </c>
      <c r="J42" s="86">
        <f t="shared" si="15"/>
        <v>1602.562262</v>
      </c>
      <c r="K42" s="86">
        <f t="shared" si="15"/>
        <v>1556.963611</v>
      </c>
    </row>
    <row r="43" ht="15.75" customHeight="1">
      <c r="A43" s="79" t="s">
        <v>102</v>
      </c>
      <c r="B43" s="97">
        <v>25.017</v>
      </c>
      <c r="C43" s="97">
        <v>39.434</v>
      </c>
      <c r="D43" s="97">
        <v>62.422</v>
      </c>
      <c r="E43" s="97">
        <v>131.413</v>
      </c>
      <c r="F43" s="86">
        <f t="shared" ref="F43:K43" si="16">E43*(F13/E13)</f>
        <v>127.9710109</v>
      </c>
      <c r="G43" s="86">
        <f t="shared" si="16"/>
        <v>137.4135588</v>
      </c>
      <c r="H43" s="86">
        <f t="shared" si="16"/>
        <v>145.117851</v>
      </c>
      <c r="I43" s="86">
        <f t="shared" si="16"/>
        <v>151.1953154</v>
      </c>
      <c r="J43" s="86">
        <f t="shared" si="16"/>
        <v>157.5326325</v>
      </c>
      <c r="K43" s="86">
        <f t="shared" si="16"/>
        <v>162.5960179</v>
      </c>
    </row>
    <row r="44" ht="15.75" customHeight="1">
      <c r="A44" s="79" t="s">
        <v>103</v>
      </c>
      <c r="B44" s="98">
        <v>65.643</v>
      </c>
      <c r="C44" s="98">
        <v>78.895</v>
      </c>
      <c r="D44" s="98">
        <v>152.491</v>
      </c>
      <c r="E44" s="98">
        <v>252.392</v>
      </c>
      <c r="F44" s="86">
        <f t="shared" ref="F44:K44" si="17">E44</f>
        <v>252.392</v>
      </c>
      <c r="G44" s="86">
        <f t="shared" si="17"/>
        <v>252.392</v>
      </c>
      <c r="H44" s="86">
        <f t="shared" si="17"/>
        <v>252.392</v>
      </c>
      <c r="I44" s="86">
        <f t="shared" si="17"/>
        <v>252.392</v>
      </c>
      <c r="J44" s="86">
        <f t="shared" si="17"/>
        <v>252.392</v>
      </c>
      <c r="K44" s="86">
        <f t="shared" si="17"/>
        <v>252.392</v>
      </c>
    </row>
    <row r="45" ht="15.75" customHeight="1">
      <c r="A45" s="78" t="s">
        <v>104</v>
      </c>
      <c r="B45" s="94">
        <f t="shared" ref="B45:K45" si="18">SUM(B41:B44)</f>
        <v>407.454</v>
      </c>
      <c r="C45" s="94">
        <f t="shared" si="18"/>
        <v>552.924</v>
      </c>
      <c r="D45" s="94">
        <f t="shared" si="18"/>
        <v>706.799</v>
      </c>
      <c r="E45" s="94">
        <f t="shared" si="18"/>
        <v>2019.886</v>
      </c>
      <c r="F45" s="94">
        <f t="shared" si="18"/>
        <v>2628.268338</v>
      </c>
      <c r="G45" s="94">
        <f t="shared" si="18"/>
        <v>2738.964617</v>
      </c>
      <c r="H45" s="94">
        <f t="shared" si="18"/>
        <v>2808.348171</v>
      </c>
      <c r="I45" s="94">
        <f t="shared" si="18"/>
        <v>2840.482105</v>
      </c>
      <c r="J45" s="94">
        <f t="shared" si="18"/>
        <v>2868.803882</v>
      </c>
      <c r="K45" s="94">
        <f t="shared" si="18"/>
        <v>2867.899609</v>
      </c>
      <c r="V45" s="99"/>
      <c r="W45" s="99"/>
      <c r="X45" s="99"/>
    </row>
    <row r="46" ht="15.75" customHeight="1"/>
    <row r="47" ht="15.75" customHeight="1">
      <c r="A47" s="79" t="s">
        <v>105</v>
      </c>
      <c r="B47" s="97">
        <v>40.602</v>
      </c>
      <c r="C47" s="97">
        <v>45.732</v>
      </c>
      <c r="D47" s="97">
        <v>26.945</v>
      </c>
      <c r="E47" s="97">
        <v>100.298</v>
      </c>
      <c r="F47" s="86">
        <f t="shared" ref="F47:K47" si="19">E47*(F9/E9)</f>
        <v>148.4714871</v>
      </c>
      <c r="G47" s="86">
        <f t="shared" si="19"/>
        <v>152.5251073</v>
      </c>
      <c r="H47" s="86">
        <f t="shared" si="19"/>
        <v>153.5963107</v>
      </c>
      <c r="I47" s="86">
        <f t="shared" si="19"/>
        <v>152.0274064</v>
      </c>
      <c r="J47" s="86">
        <f t="shared" si="19"/>
        <v>149.8374598</v>
      </c>
      <c r="K47" s="86">
        <f t="shared" si="19"/>
        <v>145.5740461</v>
      </c>
    </row>
    <row r="48" ht="15.75" customHeight="1">
      <c r="A48" s="79" t="s">
        <v>106</v>
      </c>
      <c r="B48" s="97">
        <v>201.698</v>
      </c>
      <c r="C48" s="97">
        <v>249.444</v>
      </c>
      <c r="D48" s="97">
        <v>315.163</v>
      </c>
      <c r="E48" s="97">
        <v>588.414</v>
      </c>
      <c r="F48" s="86">
        <f t="shared" ref="F48:K48" si="20">E48*(F13/E13)</f>
        <v>573.0021718</v>
      </c>
      <c r="G48" s="86">
        <f t="shared" si="20"/>
        <v>615.2820634</v>
      </c>
      <c r="H48" s="86">
        <f t="shared" si="20"/>
        <v>649.7787522</v>
      </c>
      <c r="I48" s="86">
        <f t="shared" si="20"/>
        <v>676.9911678</v>
      </c>
      <c r="J48" s="86">
        <f t="shared" si="20"/>
        <v>705.3670976</v>
      </c>
      <c r="K48" s="86">
        <f t="shared" si="20"/>
        <v>728.0388797</v>
      </c>
    </row>
    <row r="49" ht="15.75" customHeight="1">
      <c r="A49" s="79" t="s">
        <v>107</v>
      </c>
      <c r="B49" s="97">
        <v>33.387</v>
      </c>
      <c r="C49" s="97">
        <v>34.242</v>
      </c>
      <c r="D49" s="97">
        <v>249.157</v>
      </c>
      <c r="E49" s="97">
        <v>46.232</v>
      </c>
      <c r="F49" s="86">
        <f t="shared" ref="F49:K49" si="21">E49</f>
        <v>46.232</v>
      </c>
      <c r="G49" s="86">
        <f t="shared" si="21"/>
        <v>46.232</v>
      </c>
      <c r="H49" s="86">
        <f t="shared" si="21"/>
        <v>46.232</v>
      </c>
      <c r="I49" s="86">
        <f t="shared" si="21"/>
        <v>46.232</v>
      </c>
      <c r="J49" s="86">
        <f t="shared" si="21"/>
        <v>46.232</v>
      </c>
      <c r="K49" s="86">
        <f t="shared" si="21"/>
        <v>46.232</v>
      </c>
    </row>
    <row r="50" ht="15.75" customHeight="1">
      <c r="A50" s="79" t="s">
        <v>108</v>
      </c>
      <c r="B50" s="97" t="s">
        <v>109</v>
      </c>
      <c r="C50" s="97">
        <v>12.728</v>
      </c>
      <c r="D50" s="97">
        <v>14.457</v>
      </c>
      <c r="E50" s="97">
        <v>15.763</v>
      </c>
      <c r="F50" s="86">
        <f t="shared" ref="F50:K50" si="22">E50</f>
        <v>15.763</v>
      </c>
      <c r="G50" s="86">
        <f t="shared" si="22"/>
        <v>15.763</v>
      </c>
      <c r="H50" s="86">
        <f t="shared" si="22"/>
        <v>15.763</v>
      </c>
      <c r="I50" s="86">
        <f t="shared" si="22"/>
        <v>15.763</v>
      </c>
      <c r="J50" s="86">
        <f t="shared" si="22"/>
        <v>15.763</v>
      </c>
      <c r="K50" s="86">
        <f t="shared" si="22"/>
        <v>15.763</v>
      </c>
    </row>
    <row r="51" ht="15.75" customHeight="1">
      <c r="A51" s="79" t="s">
        <v>110</v>
      </c>
      <c r="B51" s="97">
        <v>1.197</v>
      </c>
      <c r="C51" s="97">
        <v>10.965</v>
      </c>
      <c r="D51" s="97">
        <v>25.2</v>
      </c>
      <c r="E51" s="97">
        <v>9.608</v>
      </c>
      <c r="F51" s="86">
        <f t="shared" ref="F51:K51" si="23">E51</f>
        <v>9.608</v>
      </c>
      <c r="G51" s="86">
        <f t="shared" si="23"/>
        <v>9.608</v>
      </c>
      <c r="H51" s="86">
        <f t="shared" si="23"/>
        <v>9.608</v>
      </c>
      <c r="I51" s="86">
        <f t="shared" si="23"/>
        <v>9.608</v>
      </c>
      <c r="J51" s="86">
        <f t="shared" si="23"/>
        <v>9.608</v>
      </c>
      <c r="K51" s="86">
        <f t="shared" si="23"/>
        <v>9.608</v>
      </c>
    </row>
    <row r="52" ht="15.75" customHeight="1">
      <c r="A52" s="79" t="s">
        <v>111</v>
      </c>
      <c r="B52" s="97">
        <v>5.414</v>
      </c>
      <c r="C52" s="97">
        <v>4.72</v>
      </c>
      <c r="D52" s="97">
        <v>2.546</v>
      </c>
      <c r="E52" s="97">
        <v>2.093</v>
      </c>
      <c r="F52" s="86">
        <f t="shared" ref="F52:K52" si="24">E52*(1+F7)</f>
        <v>2.451861689</v>
      </c>
      <c r="G52" s="86">
        <f t="shared" si="24"/>
        <v>2.666968168</v>
      </c>
      <c r="H52" s="86">
        <f t="shared" si="24"/>
        <v>2.853554792</v>
      </c>
      <c r="I52" s="86">
        <f t="shared" si="24"/>
        <v>3.012701071</v>
      </c>
      <c r="J52" s="86">
        <f t="shared" si="24"/>
        <v>3.181396365</v>
      </c>
      <c r="K52" s="86">
        <f t="shared" si="24"/>
        <v>3.328633771</v>
      </c>
    </row>
    <row r="53" ht="15.75" customHeight="1">
      <c r="A53" s="79" t="s">
        <v>112</v>
      </c>
      <c r="B53" s="97">
        <v>63.189</v>
      </c>
      <c r="C53" s="97">
        <v>6.659</v>
      </c>
      <c r="D53" s="97">
        <v>20.277</v>
      </c>
      <c r="E53" s="97">
        <v>46.895</v>
      </c>
      <c r="F53" s="86">
        <f t="shared" ref="F53:K53" si="25">E53</f>
        <v>46.895</v>
      </c>
      <c r="G53" s="86">
        <f t="shared" si="25"/>
        <v>46.895</v>
      </c>
      <c r="H53" s="86">
        <f t="shared" si="25"/>
        <v>46.895</v>
      </c>
      <c r="I53" s="86">
        <f t="shared" si="25"/>
        <v>46.895</v>
      </c>
      <c r="J53" s="86">
        <f t="shared" si="25"/>
        <v>46.895</v>
      </c>
      <c r="K53" s="86">
        <f t="shared" si="25"/>
        <v>46.895</v>
      </c>
    </row>
    <row r="54" ht="15.75" customHeight="1">
      <c r="A54" s="78" t="s">
        <v>113</v>
      </c>
      <c r="B54" s="94">
        <f t="shared" ref="B54:K54" si="26">SUM(B47:B53)</f>
        <v>345.487</v>
      </c>
      <c r="C54" s="94">
        <f t="shared" si="26"/>
        <v>364.49</v>
      </c>
      <c r="D54" s="94">
        <f t="shared" si="26"/>
        <v>653.745</v>
      </c>
      <c r="E54" s="94">
        <f t="shared" si="26"/>
        <v>809.303</v>
      </c>
      <c r="F54" s="94">
        <f t="shared" si="26"/>
        <v>842.4235206</v>
      </c>
      <c r="G54" s="94">
        <f t="shared" si="26"/>
        <v>888.9721389</v>
      </c>
      <c r="H54" s="94">
        <f t="shared" si="26"/>
        <v>924.7266176</v>
      </c>
      <c r="I54" s="94">
        <f t="shared" si="26"/>
        <v>950.5292753</v>
      </c>
      <c r="J54" s="94">
        <f t="shared" si="26"/>
        <v>976.8839538</v>
      </c>
      <c r="K54" s="94">
        <f t="shared" si="26"/>
        <v>995.4395596</v>
      </c>
    </row>
    <row r="55" ht="15.75" customHeight="1"/>
    <row r="56" ht="15.75" customHeight="1">
      <c r="A56" s="78" t="s">
        <v>114</v>
      </c>
      <c r="B56" s="100">
        <f t="shared" ref="B56:K56" si="27">B45-B54</f>
        <v>61.967</v>
      </c>
      <c r="C56" s="100">
        <f t="shared" si="27"/>
        <v>188.434</v>
      </c>
      <c r="D56" s="100">
        <f t="shared" si="27"/>
        <v>53.054</v>
      </c>
      <c r="E56" s="100">
        <f t="shared" si="27"/>
        <v>1210.583</v>
      </c>
      <c r="F56" s="100">
        <f t="shared" si="27"/>
        <v>1785.844817</v>
      </c>
      <c r="G56" s="100">
        <f t="shared" si="27"/>
        <v>1849.992478</v>
      </c>
      <c r="H56" s="100">
        <f t="shared" si="27"/>
        <v>1883.621553</v>
      </c>
      <c r="I56" s="100">
        <f t="shared" si="27"/>
        <v>1889.952829</v>
      </c>
      <c r="J56" s="100">
        <f t="shared" si="27"/>
        <v>1891.919928</v>
      </c>
      <c r="K56" s="100">
        <f t="shared" si="27"/>
        <v>1872.460049</v>
      </c>
    </row>
    <row r="57" ht="15.75" customHeight="1">
      <c r="A57" s="79" t="s">
        <v>115</v>
      </c>
      <c r="C57" s="101">
        <f t="shared" ref="C57:K57" si="28">C56-B56</f>
        <v>126.467</v>
      </c>
      <c r="D57" s="101">
        <f t="shared" si="28"/>
        <v>-135.38</v>
      </c>
      <c r="E57" s="101">
        <f t="shared" si="28"/>
        <v>1157.529</v>
      </c>
      <c r="F57" s="101">
        <f t="shared" si="28"/>
        <v>575.2618171</v>
      </c>
      <c r="G57" s="101">
        <f t="shared" si="28"/>
        <v>64.14766112</v>
      </c>
      <c r="H57" s="101">
        <f t="shared" si="28"/>
        <v>33.62907526</v>
      </c>
      <c r="I57" s="101">
        <f t="shared" si="28"/>
        <v>6.331275866</v>
      </c>
      <c r="J57" s="101">
        <f t="shared" si="28"/>
        <v>1.967099142</v>
      </c>
      <c r="K57" s="101">
        <f t="shared" si="28"/>
        <v>-19.45987916</v>
      </c>
    </row>
    <row r="58" ht="15.75" customHeight="1">
      <c r="A58" s="7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 outlineLevelCol="1"/>
  <cols>
    <col customWidth="1" min="1" max="1" width="2.71"/>
    <col customWidth="1" min="2" max="2" width="39.57"/>
    <col customWidth="1" min="3" max="3" width="12.57"/>
    <col customWidth="1" min="4" max="6" width="10.71" outlineLevel="1"/>
    <col customWidth="1" min="7" max="9" width="10.71"/>
    <col customWidth="1" min="10" max="10" width="11.71"/>
    <col customWidth="1" min="11" max="11" width="11.43"/>
    <col customWidth="1" min="12" max="12" width="11.71"/>
    <col customWidth="1" min="13" max="13" width="4.43"/>
    <col customWidth="1" min="14" max="14" width="104.14"/>
    <col customWidth="1" min="15" max="26" width="10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116</v>
      </c>
      <c r="C2" s="2"/>
      <c r="D2" s="2"/>
      <c r="E2" s="102"/>
      <c r="F2" s="102"/>
      <c r="G2" s="102"/>
      <c r="H2" s="102"/>
      <c r="I2" s="102"/>
      <c r="J2" s="102"/>
      <c r="K2" s="102"/>
      <c r="L2" s="10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03" t="s">
        <v>117</v>
      </c>
      <c r="C3" s="103"/>
      <c r="D3" s="103"/>
      <c r="E3" s="102"/>
      <c r="F3" s="102"/>
      <c r="G3" s="102"/>
      <c r="H3" s="102"/>
      <c r="I3" s="102"/>
      <c r="J3" s="102"/>
      <c r="K3" s="102"/>
      <c r="L3" s="10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04" t="s">
        <v>14</v>
      </c>
      <c r="C4" s="104"/>
      <c r="D4" s="105" t="str">
        <f>+Master!$D$8</f>
        <v>Base</v>
      </c>
      <c r="E4" s="105">
        <f>Master!C8</f>
        <v>1</v>
      </c>
      <c r="F4" s="102"/>
      <c r="G4" s="102"/>
      <c r="H4" s="102"/>
      <c r="I4" s="102"/>
      <c r="J4" s="102"/>
      <c r="K4" s="102"/>
      <c r="L4" s="10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2"/>
      <c r="C5" s="2"/>
      <c r="D5" s="102"/>
      <c r="E5" s="102"/>
      <c r="F5" s="102"/>
      <c r="G5" s="102"/>
      <c r="H5" s="102"/>
      <c r="I5" s="102"/>
      <c r="J5" s="102"/>
      <c r="K5" s="102"/>
      <c r="L5" s="10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118</v>
      </c>
      <c r="B6" s="103" t="s">
        <v>15</v>
      </c>
      <c r="C6" s="106"/>
      <c r="D6" s="107"/>
      <c r="E6" s="107"/>
      <c r="F6" s="108"/>
      <c r="G6" s="109" t="s">
        <v>119</v>
      </c>
      <c r="H6" s="107"/>
      <c r="I6" s="107"/>
      <c r="J6" s="107"/>
      <c r="K6" s="107"/>
      <c r="L6" s="10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02"/>
      <c r="C7" s="110" t="s">
        <v>66</v>
      </c>
      <c r="D7" s="110" t="s">
        <v>67</v>
      </c>
      <c r="E7" s="110" t="s">
        <v>68</v>
      </c>
      <c r="F7" s="110" t="s">
        <v>69</v>
      </c>
      <c r="G7" s="111" t="s">
        <v>70</v>
      </c>
      <c r="H7" s="111" t="s">
        <v>71</v>
      </c>
      <c r="I7" s="111" t="s">
        <v>72</v>
      </c>
      <c r="J7" s="111" t="s">
        <v>73</v>
      </c>
      <c r="K7" s="111" t="s">
        <v>74</v>
      </c>
      <c r="L7" s="111" t="s">
        <v>75</v>
      </c>
      <c r="M7" s="1"/>
      <c r="N7" s="112" t="s">
        <v>120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5" t="s">
        <v>121</v>
      </c>
      <c r="C8" s="113">
        <v>1405.0</v>
      </c>
      <c r="D8" s="113">
        <v>1643.0</v>
      </c>
      <c r="E8" s="113">
        <v>1757.0</v>
      </c>
      <c r="F8" s="113">
        <v>1801.0</v>
      </c>
      <c r="G8" s="114">
        <f t="shared" ref="G8:L8" si="1">+F8*(1+G9)</f>
        <v>1927.07</v>
      </c>
      <c r="H8" s="114">
        <f t="shared" si="1"/>
        <v>1994.51745</v>
      </c>
      <c r="I8" s="114">
        <f t="shared" si="1"/>
        <v>2012.468107</v>
      </c>
      <c r="J8" s="114">
        <f t="shared" si="1"/>
        <v>2024.542916</v>
      </c>
      <c r="K8" s="114">
        <f t="shared" si="1"/>
        <v>2052.886517</v>
      </c>
      <c r="L8" s="114">
        <f t="shared" si="1"/>
        <v>2079.574041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9" t="s">
        <v>21</v>
      </c>
      <c r="C9" s="29"/>
      <c r="D9" s="115">
        <f t="shared" ref="D9:F9" si="2">D8/C8-1</f>
        <v>0.1693950178</v>
      </c>
      <c r="E9" s="115">
        <f t="shared" si="2"/>
        <v>0.06938527085</v>
      </c>
      <c r="F9" s="115">
        <f t="shared" si="2"/>
        <v>0.0250426864</v>
      </c>
      <c r="G9" s="116">
        <f>CHOOSE($E$4,G10,G11,G12)</f>
        <v>0.07</v>
      </c>
      <c r="H9" s="116">
        <f t="shared" ref="H9:L9" si="3">+OFFSET(H9,$E$4,)</f>
        <v>0.035</v>
      </c>
      <c r="I9" s="116">
        <f t="shared" si="3"/>
        <v>0.009</v>
      </c>
      <c r="J9" s="116">
        <f t="shared" si="3"/>
        <v>0.006</v>
      </c>
      <c r="K9" s="116">
        <f t="shared" si="3"/>
        <v>0.014</v>
      </c>
      <c r="L9" s="116">
        <f t="shared" si="3"/>
        <v>0.013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1" t="s">
        <v>9</v>
      </c>
      <c r="C10" s="11"/>
      <c r="D10" s="1"/>
      <c r="E10" s="1"/>
      <c r="F10" s="1"/>
      <c r="G10" s="117">
        <v>0.07</v>
      </c>
      <c r="H10" s="117">
        <v>0.035</v>
      </c>
      <c r="I10" s="117">
        <v>0.009</v>
      </c>
      <c r="J10" s="117">
        <v>0.006</v>
      </c>
      <c r="K10" s="117">
        <v>0.014</v>
      </c>
      <c r="L10" s="117">
        <v>0.013</v>
      </c>
      <c r="M10" s="1"/>
      <c r="N10" s="1" t="s">
        <v>122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1" t="s">
        <v>11</v>
      </c>
      <c r="C11" s="11"/>
      <c r="D11" s="1"/>
      <c r="E11" s="1"/>
      <c r="F11" s="118"/>
      <c r="G11" s="117">
        <v>0.073</v>
      </c>
      <c r="H11" s="117">
        <v>0.04</v>
      </c>
      <c r="I11" s="117">
        <v>0.019</v>
      </c>
      <c r="J11" s="117">
        <v>0.016</v>
      </c>
      <c r="K11" s="117">
        <v>0.024</v>
      </c>
      <c r="L11" s="117">
        <v>0.023</v>
      </c>
      <c r="M11" s="1"/>
      <c r="N11" s="1" t="s">
        <v>123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1" t="s">
        <v>12</v>
      </c>
      <c r="C12" s="11"/>
      <c r="D12" s="1"/>
      <c r="E12" s="1"/>
      <c r="F12" s="1"/>
      <c r="G12" s="117">
        <v>0.07</v>
      </c>
      <c r="H12" s="117">
        <v>0.021</v>
      </c>
      <c r="I12" s="117">
        <v>0.005</v>
      </c>
      <c r="J12" s="117">
        <v>0.0</v>
      </c>
      <c r="K12" s="117">
        <v>0.005</v>
      </c>
      <c r="L12" s="117">
        <v>0.005</v>
      </c>
      <c r="M12" s="1"/>
      <c r="N12" s="1" t="s">
        <v>124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5" t="s">
        <v>125</v>
      </c>
      <c r="C14" s="119"/>
      <c r="D14" s="113"/>
      <c r="E14" s="113"/>
      <c r="F14" s="113">
        <v>463.0</v>
      </c>
      <c r="G14" s="120">
        <f t="shared" ref="G14:L14" si="4">+F14*(1+G15)</f>
        <v>717.65</v>
      </c>
      <c r="H14" s="120">
        <f t="shared" si="4"/>
        <v>825.2975</v>
      </c>
      <c r="I14" s="120">
        <f t="shared" si="4"/>
        <v>949.092125</v>
      </c>
      <c r="J14" s="120">
        <f t="shared" si="4"/>
        <v>1044.001338</v>
      </c>
      <c r="K14" s="120">
        <f t="shared" si="4"/>
        <v>1148.401471</v>
      </c>
      <c r="L14" s="120">
        <f t="shared" si="4"/>
        <v>1240.273589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9" t="s">
        <v>21</v>
      </c>
      <c r="C15" s="121"/>
      <c r="D15" s="121"/>
      <c r="E15" s="122"/>
      <c r="F15" s="122"/>
      <c r="G15" s="116">
        <f t="shared" ref="G15:L15" si="5">+OFFSET(G15,$E$4,)</f>
        <v>0.55</v>
      </c>
      <c r="H15" s="116">
        <f t="shared" si="5"/>
        <v>0.15</v>
      </c>
      <c r="I15" s="116">
        <f t="shared" si="5"/>
        <v>0.15</v>
      </c>
      <c r="J15" s="116">
        <f t="shared" si="5"/>
        <v>0.1</v>
      </c>
      <c r="K15" s="116">
        <f t="shared" si="5"/>
        <v>0.1</v>
      </c>
      <c r="L15" s="116">
        <f t="shared" si="5"/>
        <v>0.08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1" t="s">
        <v>9</v>
      </c>
      <c r="C16" s="123"/>
      <c r="D16" s="123"/>
      <c r="E16" s="123"/>
      <c r="F16" s="123"/>
      <c r="G16" s="117">
        <v>0.55</v>
      </c>
      <c r="H16" s="117">
        <v>0.15</v>
      </c>
      <c r="I16" s="117">
        <v>0.15</v>
      </c>
      <c r="J16" s="117">
        <v>0.1</v>
      </c>
      <c r="K16" s="117">
        <v>0.1</v>
      </c>
      <c r="L16" s="117">
        <v>0.08</v>
      </c>
      <c r="M16" s="1"/>
      <c r="N16" s="1" t="s">
        <v>126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1" t="s">
        <v>11</v>
      </c>
      <c r="C17" s="123"/>
      <c r="D17" s="123"/>
      <c r="E17" s="123"/>
      <c r="F17" s="123"/>
      <c r="G17" s="117">
        <v>0.6</v>
      </c>
      <c r="H17" s="117">
        <v>0.3</v>
      </c>
      <c r="I17" s="117">
        <v>0.223</v>
      </c>
      <c r="J17" s="117">
        <v>0.223</v>
      </c>
      <c r="K17" s="117">
        <v>0.181</v>
      </c>
      <c r="L17" s="117">
        <v>0.124</v>
      </c>
      <c r="M17" s="1"/>
      <c r="N17" s="1" t="s">
        <v>127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1" t="s">
        <v>12</v>
      </c>
      <c r="C18" s="123"/>
      <c r="D18" s="123"/>
      <c r="E18" s="123"/>
      <c r="F18" s="123"/>
      <c r="G18" s="117">
        <v>0.55</v>
      </c>
      <c r="H18" s="117">
        <v>-0.25</v>
      </c>
      <c r="I18" s="117">
        <v>-0.25</v>
      </c>
      <c r="J18" s="117">
        <v>-0.25</v>
      </c>
      <c r="K18" s="117">
        <v>-0.25</v>
      </c>
      <c r="L18" s="117">
        <v>-0.25</v>
      </c>
      <c r="M18" s="1"/>
      <c r="N18" s="1" t="s">
        <v>128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1"/>
      <c r="C19" s="123"/>
      <c r="D19" s="123"/>
      <c r="E19" s="123"/>
      <c r="F19" s="1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5" t="s">
        <v>129</v>
      </c>
      <c r="C20" s="124"/>
      <c r="D20" s="113">
        <v>4.0</v>
      </c>
      <c r="E20" s="113">
        <v>28.0</v>
      </c>
      <c r="F20" s="113">
        <v>70.0</v>
      </c>
      <c r="G20" s="120">
        <f t="shared" ref="G20:L20" si="6">+F20*(1+G21)</f>
        <v>73.5</v>
      </c>
      <c r="H20" s="120">
        <f t="shared" si="6"/>
        <v>74.97</v>
      </c>
      <c r="I20" s="120">
        <f t="shared" si="6"/>
        <v>75.7197</v>
      </c>
      <c r="J20" s="120">
        <f t="shared" si="6"/>
        <v>76.476897</v>
      </c>
      <c r="K20" s="120">
        <f t="shared" si="6"/>
        <v>77.24166597</v>
      </c>
      <c r="L20" s="120">
        <f t="shared" si="6"/>
        <v>78.01408263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9" t="s">
        <v>21</v>
      </c>
      <c r="C21" s="121"/>
      <c r="D21" s="121"/>
      <c r="E21" s="122">
        <f t="shared" ref="E21:F21" si="7">+E20/D20-1</f>
        <v>6</v>
      </c>
      <c r="F21" s="122">
        <f t="shared" si="7"/>
        <v>1.5</v>
      </c>
      <c r="G21" s="116">
        <f t="shared" ref="G21:L21" si="8">+OFFSET(G21,$E$4,)</f>
        <v>0.05</v>
      </c>
      <c r="H21" s="116">
        <f t="shared" si="8"/>
        <v>0.02</v>
      </c>
      <c r="I21" s="116">
        <f t="shared" si="8"/>
        <v>0.01</v>
      </c>
      <c r="J21" s="116">
        <f t="shared" si="8"/>
        <v>0.01</v>
      </c>
      <c r="K21" s="116">
        <f t="shared" si="8"/>
        <v>0.01</v>
      </c>
      <c r="L21" s="116">
        <f t="shared" si="8"/>
        <v>0.01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1" t="s">
        <v>9</v>
      </c>
      <c r="C22" s="123"/>
      <c r="D22" s="123"/>
      <c r="E22" s="123"/>
      <c r="F22" s="123"/>
      <c r="G22" s="117">
        <v>0.05</v>
      </c>
      <c r="H22" s="117">
        <v>0.02</v>
      </c>
      <c r="I22" s="117">
        <v>0.01</v>
      </c>
      <c r="J22" s="117">
        <v>0.01</v>
      </c>
      <c r="K22" s="117">
        <v>0.01</v>
      </c>
      <c r="L22" s="117">
        <v>0.01</v>
      </c>
      <c r="M22" s="1"/>
      <c r="N22" s="1" t="s">
        <v>130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1" t="s">
        <v>11</v>
      </c>
      <c r="C23" s="123"/>
      <c r="D23" s="123"/>
      <c r="E23" s="123"/>
      <c r="F23" s="123"/>
      <c r="G23" s="117">
        <v>0.06</v>
      </c>
      <c r="H23" s="117">
        <v>0.05</v>
      </c>
      <c r="I23" s="117">
        <v>0.04</v>
      </c>
      <c r="J23" s="117">
        <v>0.03</v>
      </c>
      <c r="K23" s="117">
        <v>0.02</v>
      </c>
      <c r="L23" s="117">
        <v>0.01</v>
      </c>
      <c r="M23" s="1"/>
      <c r="N23" s="1" t="s">
        <v>123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1" t="s">
        <v>12</v>
      </c>
      <c r="C24" s="123"/>
      <c r="D24" s="123"/>
      <c r="E24" s="123"/>
      <c r="F24" s="123"/>
      <c r="G24" s="117">
        <v>0.05</v>
      </c>
      <c r="H24" s="117">
        <v>-0.01</v>
      </c>
      <c r="I24" s="117">
        <v>-0.01</v>
      </c>
      <c r="J24" s="117">
        <v>-0.01</v>
      </c>
      <c r="K24" s="117">
        <v>-0.01</v>
      </c>
      <c r="L24" s="117">
        <v>-0.01</v>
      </c>
      <c r="M24" s="1"/>
      <c r="N24" s="1" t="s">
        <v>131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23"/>
      <c r="D25" s="123"/>
      <c r="E25" s="123"/>
      <c r="F25" s="12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5" t="s">
        <v>132</v>
      </c>
      <c r="C26" s="125">
        <v>425.0</v>
      </c>
      <c r="D26" s="113">
        <v>472.0</v>
      </c>
      <c r="E26" s="113">
        <v>552.0</v>
      </c>
      <c r="F26" s="113">
        <v>734.0</v>
      </c>
      <c r="G26" s="120">
        <f t="shared" ref="G26:L26" si="9">+F26*(1+G27)</f>
        <v>880.8</v>
      </c>
      <c r="H26" s="120">
        <f t="shared" si="9"/>
        <v>1021.728</v>
      </c>
      <c r="I26" s="120">
        <f t="shared" si="9"/>
        <v>1154.55264</v>
      </c>
      <c r="J26" s="120">
        <f t="shared" si="9"/>
        <v>1281.55343</v>
      </c>
      <c r="K26" s="120">
        <f t="shared" si="9"/>
        <v>1396.893239</v>
      </c>
      <c r="L26" s="120">
        <f t="shared" si="9"/>
        <v>1494.675766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9" t="s">
        <v>21</v>
      </c>
      <c r="C27" s="121"/>
      <c r="D27" s="122">
        <f t="shared" ref="D27:F27" si="10">+D26/C26-1</f>
        <v>0.1105882353</v>
      </c>
      <c r="E27" s="122">
        <f t="shared" si="10"/>
        <v>0.1694915254</v>
      </c>
      <c r="F27" s="122">
        <f t="shared" si="10"/>
        <v>0.3297101449</v>
      </c>
      <c r="G27" s="116">
        <f t="shared" ref="G27:L27" si="11">+OFFSET(G27,$E$4,)</f>
        <v>0.2</v>
      </c>
      <c r="H27" s="116">
        <f t="shared" si="11"/>
        <v>0.16</v>
      </c>
      <c r="I27" s="116">
        <f t="shared" si="11"/>
        <v>0.13</v>
      </c>
      <c r="J27" s="116">
        <f t="shared" si="11"/>
        <v>0.11</v>
      </c>
      <c r="K27" s="116">
        <f t="shared" si="11"/>
        <v>0.09</v>
      </c>
      <c r="L27" s="116">
        <f t="shared" si="11"/>
        <v>0.07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1" t="s">
        <v>9</v>
      </c>
      <c r="C28" s="123"/>
      <c r="D28" s="123"/>
      <c r="E28" s="123"/>
      <c r="F28" s="123"/>
      <c r="G28" s="117">
        <v>0.2</v>
      </c>
      <c r="H28" s="117">
        <v>0.16</v>
      </c>
      <c r="I28" s="117">
        <v>0.13</v>
      </c>
      <c r="J28" s="117">
        <v>0.11</v>
      </c>
      <c r="K28" s="117">
        <v>0.09</v>
      </c>
      <c r="L28" s="117">
        <v>0.07</v>
      </c>
      <c r="M28" s="1"/>
      <c r="N28" s="1" t="s">
        <v>133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1" t="s">
        <v>11</v>
      </c>
      <c r="C29" s="123"/>
      <c r="D29" s="123"/>
      <c r="E29" s="123"/>
      <c r="F29" s="123"/>
      <c r="G29" s="117">
        <v>0.21</v>
      </c>
      <c r="H29" s="117">
        <v>0.18</v>
      </c>
      <c r="I29" s="117">
        <v>0.15</v>
      </c>
      <c r="J29" s="117">
        <v>0.13</v>
      </c>
      <c r="K29" s="117">
        <v>0.11</v>
      </c>
      <c r="L29" s="117">
        <v>0.09</v>
      </c>
      <c r="M29" s="1"/>
      <c r="N29" s="1" t="s">
        <v>123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1" t="s">
        <v>12</v>
      </c>
      <c r="C30" s="123"/>
      <c r="D30" s="123"/>
      <c r="E30" s="123"/>
      <c r="F30" s="123"/>
      <c r="G30" s="117">
        <v>0.2</v>
      </c>
      <c r="H30" s="117">
        <v>0.14</v>
      </c>
      <c r="I30" s="117">
        <v>0.11</v>
      </c>
      <c r="J30" s="117">
        <v>0.09</v>
      </c>
      <c r="K30" s="117">
        <v>0.07</v>
      </c>
      <c r="L30" s="117">
        <v>0.05</v>
      </c>
      <c r="M30" s="1"/>
      <c r="N30" s="1" t="s">
        <v>134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1"/>
      <c r="C31" s="123"/>
      <c r="D31" s="123"/>
      <c r="E31" s="123"/>
      <c r="F31" s="1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5" t="s">
        <v>135</v>
      </c>
      <c r="C32" s="125">
        <v>61.0</v>
      </c>
      <c r="D32" s="125">
        <v>44.0</v>
      </c>
      <c r="E32" s="125">
        <v>24.0</v>
      </c>
      <c r="F32" s="125">
        <v>25.0</v>
      </c>
      <c r="G32" s="120">
        <f t="shared" ref="G32:L32" si="12">+F32*(1+G33)</f>
        <v>25.75</v>
      </c>
      <c r="H32" s="120">
        <f t="shared" si="12"/>
        <v>26.265</v>
      </c>
      <c r="I32" s="120">
        <f t="shared" si="12"/>
        <v>26.7903</v>
      </c>
      <c r="J32" s="120">
        <f t="shared" si="12"/>
        <v>27.326106</v>
      </c>
      <c r="K32" s="120">
        <f t="shared" si="12"/>
        <v>27.87262812</v>
      </c>
      <c r="L32" s="120">
        <f t="shared" si="12"/>
        <v>28.43008068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29" t="s">
        <v>21</v>
      </c>
      <c r="C33" s="121"/>
      <c r="D33" s="122">
        <f t="shared" ref="D33:F33" si="13">+D32/C32-1</f>
        <v>-0.2786885246</v>
      </c>
      <c r="E33" s="122">
        <f t="shared" si="13"/>
        <v>-0.4545454545</v>
      </c>
      <c r="F33" s="122">
        <f t="shared" si="13"/>
        <v>0.04166666667</v>
      </c>
      <c r="G33" s="116">
        <f t="shared" ref="G33:L33" si="14">+OFFSET(G33,$E$4,)</f>
        <v>0.03</v>
      </c>
      <c r="H33" s="116">
        <f t="shared" si="14"/>
        <v>0.02</v>
      </c>
      <c r="I33" s="116">
        <f t="shared" si="14"/>
        <v>0.02</v>
      </c>
      <c r="J33" s="116">
        <f t="shared" si="14"/>
        <v>0.02</v>
      </c>
      <c r="K33" s="116">
        <f t="shared" si="14"/>
        <v>0.02</v>
      </c>
      <c r="L33" s="116">
        <f t="shared" si="14"/>
        <v>0.02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1" t="s">
        <v>9</v>
      </c>
      <c r="C34" s="11"/>
      <c r="D34" s="1"/>
      <c r="E34" s="1"/>
      <c r="F34" s="1"/>
      <c r="G34" s="117">
        <v>0.03</v>
      </c>
      <c r="H34" s="117">
        <v>0.02</v>
      </c>
      <c r="I34" s="117">
        <v>0.02</v>
      </c>
      <c r="J34" s="117">
        <v>0.02</v>
      </c>
      <c r="K34" s="117">
        <v>0.02</v>
      </c>
      <c r="L34" s="117">
        <v>0.02</v>
      </c>
      <c r="M34" s="1"/>
      <c r="N34" s="1" t="s">
        <v>136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1" t="s">
        <v>11</v>
      </c>
      <c r="C35" s="11"/>
      <c r="D35" s="1"/>
      <c r="E35" s="1"/>
      <c r="F35" s="1"/>
      <c r="G35" s="117">
        <v>0.042</v>
      </c>
      <c r="H35" s="117">
        <v>0.042</v>
      </c>
      <c r="I35" s="117">
        <v>0.042</v>
      </c>
      <c r="J35" s="117">
        <v>0.042</v>
      </c>
      <c r="K35" s="117">
        <v>0.042</v>
      </c>
      <c r="L35" s="117">
        <v>0.042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1" t="s">
        <v>12</v>
      </c>
      <c r="C36" s="11"/>
      <c r="D36" s="1"/>
      <c r="E36" s="1"/>
      <c r="F36" s="1"/>
      <c r="G36" s="117">
        <v>0.03</v>
      </c>
      <c r="H36" s="117">
        <v>-0.01</v>
      </c>
      <c r="I36" s="117">
        <v>-0.01</v>
      </c>
      <c r="J36" s="117">
        <v>-0.01</v>
      </c>
      <c r="K36" s="117">
        <v>-0.01</v>
      </c>
      <c r="L36" s="117">
        <v>-0.01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5" t="s">
        <v>137</v>
      </c>
      <c r="C38" s="126">
        <v>-121.5</v>
      </c>
      <c r="D38" s="126">
        <v>-127.9</v>
      </c>
      <c r="E38" s="126">
        <v>-148.9</v>
      </c>
      <c r="F38" s="126">
        <v>-440.8</v>
      </c>
      <c r="G38" s="120">
        <f t="shared" ref="G38:L38" si="15">-G39*(G8+G14+G20+G26+G32)</f>
        <v>-652.4586</v>
      </c>
      <c r="H38" s="120">
        <f t="shared" si="15"/>
        <v>-670.2722515</v>
      </c>
      <c r="I38" s="120">
        <f t="shared" si="15"/>
        <v>-674.9796595</v>
      </c>
      <c r="J38" s="120">
        <f t="shared" si="15"/>
        <v>-668.085103</v>
      </c>
      <c r="K38" s="120">
        <f t="shared" si="15"/>
        <v>-658.4613729</v>
      </c>
      <c r="L38" s="120">
        <f t="shared" si="15"/>
        <v>-639.7257827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29" t="s">
        <v>138</v>
      </c>
      <c r="C39" s="115">
        <f t="shared" ref="C39:F39" si="16">-C38/(C8+C14+C20+C26+C32)</f>
        <v>0.06425171867</v>
      </c>
      <c r="D39" s="115">
        <f t="shared" si="16"/>
        <v>0.0591308368</v>
      </c>
      <c r="E39" s="115">
        <f t="shared" si="16"/>
        <v>0.06306649725</v>
      </c>
      <c r="F39" s="115">
        <f t="shared" si="16"/>
        <v>0.1425153573</v>
      </c>
      <c r="G39" s="116">
        <f t="shared" ref="G39:L39" si="17">+OFFSET(G39,$E$4,)</f>
        <v>0.18</v>
      </c>
      <c r="H39" s="116">
        <f t="shared" si="17"/>
        <v>0.17</v>
      </c>
      <c r="I39" s="116">
        <f t="shared" si="17"/>
        <v>0.16</v>
      </c>
      <c r="J39" s="116">
        <f t="shared" si="17"/>
        <v>0.15</v>
      </c>
      <c r="K39" s="116">
        <f t="shared" si="17"/>
        <v>0.14</v>
      </c>
      <c r="L39" s="116">
        <f t="shared" si="17"/>
        <v>0.13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1" t="s">
        <v>9</v>
      </c>
      <c r="C40" s="11"/>
      <c r="D40" s="1"/>
      <c r="E40" s="1"/>
      <c r="F40" s="1"/>
      <c r="G40" s="117">
        <v>0.18</v>
      </c>
      <c r="H40" s="117">
        <v>0.17</v>
      </c>
      <c r="I40" s="117">
        <v>0.16</v>
      </c>
      <c r="J40" s="117">
        <v>0.15</v>
      </c>
      <c r="K40" s="117">
        <v>0.14</v>
      </c>
      <c r="L40" s="117">
        <v>0.13</v>
      </c>
      <c r="M40" s="1"/>
      <c r="N40" s="1" t="s">
        <v>139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1" t="s">
        <v>11</v>
      </c>
      <c r="C41" s="11"/>
      <c r="D41" s="1"/>
      <c r="E41" s="127"/>
      <c r="F41" s="1"/>
      <c r="G41" s="117">
        <v>0.17</v>
      </c>
      <c r="H41" s="117">
        <v>0.16</v>
      </c>
      <c r="I41" s="117">
        <v>0.15</v>
      </c>
      <c r="J41" s="117">
        <v>0.14</v>
      </c>
      <c r="K41" s="117">
        <v>0.13</v>
      </c>
      <c r="L41" s="117">
        <v>0.12</v>
      </c>
      <c r="M41" s="1"/>
      <c r="N41" s="1" t="s">
        <v>140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1" t="s">
        <v>12</v>
      </c>
      <c r="C42" s="11"/>
      <c r="D42" s="1"/>
      <c r="E42" s="1"/>
      <c r="F42" s="1"/>
      <c r="G42" s="117">
        <v>0.18</v>
      </c>
      <c r="H42" s="117">
        <v>0.18</v>
      </c>
      <c r="I42" s="117">
        <v>0.17</v>
      </c>
      <c r="J42" s="117">
        <v>0.16</v>
      </c>
      <c r="K42" s="117">
        <v>0.15</v>
      </c>
      <c r="L42" s="117">
        <v>0.14</v>
      </c>
      <c r="M42" s="1"/>
      <c r="N42" s="1" t="s">
        <v>141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5" t="s">
        <v>142</v>
      </c>
      <c r="C44" s="128">
        <v>-683.53</v>
      </c>
      <c r="D44" s="128">
        <v>-736.942</v>
      </c>
      <c r="E44" s="128">
        <v>-854.233</v>
      </c>
      <c r="F44" s="128">
        <v>-1451.683</v>
      </c>
      <c r="G44" s="120">
        <f t="shared" ref="G44:L44" si="18">-G45*(G8+G14+G20+G26+G32)</f>
        <v>-1413.6603</v>
      </c>
      <c r="H44" s="120">
        <f t="shared" si="18"/>
        <v>-1517.969511</v>
      </c>
      <c r="I44" s="120">
        <f t="shared" si="18"/>
        <v>-1603.076691</v>
      </c>
      <c r="J44" s="120">
        <f t="shared" si="18"/>
        <v>-1670.212757</v>
      </c>
      <c r="K44" s="120">
        <f t="shared" si="18"/>
        <v>-1740.219343</v>
      </c>
      <c r="L44" s="120">
        <f t="shared" si="18"/>
        <v>-1796.153159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9" t="s">
        <v>138</v>
      </c>
      <c r="C45" s="116">
        <f t="shared" ref="C45:F45" si="19">-C44/(C8+C14+C20+C26+C32)</f>
        <v>0.3614648334</v>
      </c>
      <c r="D45" s="116">
        <f t="shared" si="19"/>
        <v>0.3407036523</v>
      </c>
      <c r="E45" s="116">
        <f t="shared" si="19"/>
        <v>0.3618098263</v>
      </c>
      <c r="F45" s="116">
        <f t="shared" si="19"/>
        <v>0.4693446492</v>
      </c>
      <c r="G45" s="116">
        <f t="shared" ref="G45:L45" si="20">+OFFSET(G45,$E$4,)</f>
        <v>0.39</v>
      </c>
      <c r="H45" s="116">
        <f t="shared" si="20"/>
        <v>0.385</v>
      </c>
      <c r="I45" s="116">
        <f t="shared" si="20"/>
        <v>0.38</v>
      </c>
      <c r="J45" s="116">
        <f t="shared" si="20"/>
        <v>0.375</v>
      </c>
      <c r="K45" s="116">
        <f t="shared" si="20"/>
        <v>0.37</v>
      </c>
      <c r="L45" s="116">
        <f t="shared" si="20"/>
        <v>0.365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1" t="s">
        <v>9</v>
      </c>
      <c r="C46" s="11"/>
      <c r="D46" s="1"/>
      <c r="E46" s="1"/>
      <c r="F46" s="1"/>
      <c r="G46" s="129">
        <v>0.39</v>
      </c>
      <c r="H46" s="129">
        <v>0.385</v>
      </c>
      <c r="I46" s="129">
        <v>0.38</v>
      </c>
      <c r="J46" s="129">
        <v>0.375</v>
      </c>
      <c r="K46" s="129">
        <v>0.37</v>
      </c>
      <c r="L46" s="129">
        <v>0.365</v>
      </c>
      <c r="M46" s="1"/>
      <c r="N46" s="1" t="s">
        <v>143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1" t="s">
        <v>11</v>
      </c>
      <c r="C47" s="11"/>
      <c r="D47" s="1"/>
      <c r="E47" s="1"/>
      <c r="F47" s="1"/>
      <c r="G47" s="130">
        <v>0.373</v>
      </c>
      <c r="H47" s="130">
        <v>0.373</v>
      </c>
      <c r="I47" s="130">
        <v>0.363</v>
      </c>
      <c r="J47" s="130">
        <v>0.353</v>
      </c>
      <c r="K47" s="130">
        <v>0.343</v>
      </c>
      <c r="L47" s="130">
        <v>0.333</v>
      </c>
      <c r="M47" s="1"/>
      <c r="N47" s="1" t="s">
        <v>144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1" t="s">
        <v>12</v>
      </c>
      <c r="C48" s="11"/>
      <c r="D48" s="1"/>
      <c r="E48" s="1"/>
      <c r="F48" s="1"/>
      <c r="G48" s="130">
        <v>0.39</v>
      </c>
      <c r="H48" s="130">
        <v>0.42</v>
      </c>
      <c r="I48" s="130">
        <v>0.42</v>
      </c>
      <c r="J48" s="130">
        <v>0.42</v>
      </c>
      <c r="K48" s="130">
        <v>0.42</v>
      </c>
      <c r="L48" s="130">
        <v>0.42</v>
      </c>
      <c r="M48" s="1"/>
      <c r="N48" s="1" t="s">
        <v>145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5" t="s">
        <v>146</v>
      </c>
      <c r="C50" s="128">
        <v>-226.616</v>
      </c>
      <c r="D50" s="128">
        <v>-299.726</v>
      </c>
      <c r="E50" s="128">
        <v>-335.375</v>
      </c>
      <c r="F50" s="128">
        <v>-505.748</v>
      </c>
      <c r="G50" s="120">
        <f t="shared" ref="G50:L50" si="21">-G51*(G8+G14+G20+G26+G32)</f>
        <v>-616.2109</v>
      </c>
      <c r="H50" s="120">
        <f t="shared" si="21"/>
        <v>-670.2722515</v>
      </c>
      <c r="I50" s="120">
        <f t="shared" si="21"/>
        <v>-717.1658882</v>
      </c>
      <c r="J50" s="120">
        <f t="shared" si="21"/>
        <v>-757.1631167</v>
      </c>
      <c r="K50" s="120">
        <f t="shared" si="21"/>
        <v>-799.5602386</v>
      </c>
      <c r="L50" s="120">
        <f t="shared" si="21"/>
        <v>-836.5644851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9" t="s">
        <v>138</v>
      </c>
      <c r="C51" s="17">
        <f t="shared" ref="C51:F51" si="22">-C50/(C8+C14+C20+C26+C32)</f>
        <v>0.1198392385</v>
      </c>
      <c r="D51" s="131">
        <f t="shared" si="22"/>
        <v>0.1385695793</v>
      </c>
      <c r="E51" s="131">
        <f t="shared" si="22"/>
        <v>0.1420478611</v>
      </c>
      <c r="F51" s="131">
        <f t="shared" si="22"/>
        <v>0.1635137407</v>
      </c>
      <c r="G51" s="122">
        <f t="shared" ref="G51:L51" si="23">+OFFSET(G51,$E$4,)</f>
        <v>0.17</v>
      </c>
      <c r="H51" s="122">
        <f t="shared" si="23"/>
        <v>0.17</v>
      </c>
      <c r="I51" s="122">
        <f t="shared" si="23"/>
        <v>0.17</v>
      </c>
      <c r="J51" s="122">
        <f t="shared" si="23"/>
        <v>0.17</v>
      </c>
      <c r="K51" s="122">
        <f t="shared" si="23"/>
        <v>0.17</v>
      </c>
      <c r="L51" s="122">
        <f t="shared" si="23"/>
        <v>0.17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1" t="s">
        <v>9</v>
      </c>
      <c r="C52" s="11"/>
      <c r="D52" s="1"/>
      <c r="E52" s="1"/>
      <c r="F52" s="1"/>
      <c r="G52" s="129">
        <v>0.17</v>
      </c>
      <c r="H52" s="129">
        <v>0.17</v>
      </c>
      <c r="I52" s="129">
        <v>0.17</v>
      </c>
      <c r="J52" s="129">
        <v>0.17</v>
      </c>
      <c r="K52" s="129">
        <v>0.17</v>
      </c>
      <c r="L52" s="129">
        <v>0.17</v>
      </c>
      <c r="M52" s="1"/>
      <c r="N52" s="1" t="s">
        <v>147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1" t="s">
        <v>11</v>
      </c>
      <c r="C53" s="11"/>
      <c r="D53" s="1"/>
      <c r="E53" s="1"/>
      <c r="F53" s="1"/>
      <c r="G53" s="130">
        <v>0.175</v>
      </c>
      <c r="H53" s="130">
        <v>0.175</v>
      </c>
      <c r="I53" s="130">
        <v>0.175</v>
      </c>
      <c r="J53" s="130">
        <v>0.175</v>
      </c>
      <c r="K53" s="130">
        <v>0.175</v>
      </c>
      <c r="L53" s="130">
        <v>0.175</v>
      </c>
      <c r="M53" s="1"/>
      <c r="N53" s="1" t="s">
        <v>148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1" t="s">
        <v>12</v>
      </c>
      <c r="C54" s="11"/>
      <c r="D54" s="1"/>
      <c r="E54" s="1"/>
      <c r="F54" s="1"/>
      <c r="G54" s="130">
        <v>0.17</v>
      </c>
      <c r="H54" s="130">
        <v>0.12</v>
      </c>
      <c r="I54" s="130">
        <v>0.12</v>
      </c>
      <c r="J54" s="130">
        <v>0.12</v>
      </c>
      <c r="K54" s="130">
        <v>0.12</v>
      </c>
      <c r="L54" s="130">
        <v>0.12</v>
      </c>
      <c r="M54" s="1"/>
      <c r="N54" s="1" t="s">
        <v>149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5" t="s">
        <v>150</v>
      </c>
      <c r="C56" s="128">
        <v>-201.498</v>
      </c>
      <c r="D56" s="128">
        <v>-354.814</v>
      </c>
      <c r="E56" s="128">
        <v>-259.58</v>
      </c>
      <c r="F56" s="128">
        <v>-525.769</v>
      </c>
      <c r="G56" s="120">
        <f t="shared" ref="G56:L56" si="24">-G57*(G8+G14+G20+G26+G32)</f>
        <v>-507.4678</v>
      </c>
      <c r="H56" s="120">
        <f t="shared" si="24"/>
        <v>-551.988913</v>
      </c>
      <c r="I56" s="120">
        <f t="shared" si="24"/>
        <v>-590.6072021</v>
      </c>
      <c r="J56" s="120">
        <f t="shared" si="24"/>
        <v>-623.5460961</v>
      </c>
      <c r="K56" s="120">
        <f t="shared" si="24"/>
        <v>-658.4613729</v>
      </c>
      <c r="L56" s="120">
        <f t="shared" si="24"/>
        <v>-688.9354583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29" t="s">
        <v>138</v>
      </c>
      <c r="C57" s="17">
        <f t="shared" ref="C57:F57" si="25">-C56/(C8+C14+C20+C26+C32)</f>
        <v>0.1065563194</v>
      </c>
      <c r="D57" s="17">
        <f t="shared" si="25"/>
        <v>0.1640379103</v>
      </c>
      <c r="E57" s="17">
        <f t="shared" si="25"/>
        <v>0.1099449386</v>
      </c>
      <c r="F57" s="17">
        <f t="shared" si="25"/>
        <v>0.1699867443</v>
      </c>
      <c r="G57" s="116">
        <f t="shared" ref="G57:L57" si="26">+OFFSET(G57,$E$4,)</f>
        <v>0.14</v>
      </c>
      <c r="H57" s="116">
        <f t="shared" si="26"/>
        <v>0.14</v>
      </c>
      <c r="I57" s="116">
        <f t="shared" si="26"/>
        <v>0.14</v>
      </c>
      <c r="J57" s="116">
        <f t="shared" si="26"/>
        <v>0.14</v>
      </c>
      <c r="K57" s="116">
        <f t="shared" si="26"/>
        <v>0.14</v>
      </c>
      <c r="L57" s="116">
        <f t="shared" si="26"/>
        <v>0.14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1" t="s">
        <v>9</v>
      </c>
      <c r="C58" s="11"/>
      <c r="D58" s="1"/>
      <c r="E58" s="1"/>
      <c r="F58" s="1"/>
      <c r="G58" s="117">
        <v>0.14</v>
      </c>
      <c r="H58" s="117">
        <v>0.14</v>
      </c>
      <c r="I58" s="117">
        <v>0.14</v>
      </c>
      <c r="J58" s="117">
        <v>0.14</v>
      </c>
      <c r="K58" s="117">
        <v>0.14</v>
      </c>
      <c r="L58" s="117">
        <v>0.14</v>
      </c>
      <c r="M58" s="1"/>
      <c r="N58" s="1" t="s">
        <v>151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1" t="s">
        <v>11</v>
      </c>
      <c r="C59" s="11"/>
      <c r="D59" s="1"/>
      <c r="E59" s="1"/>
      <c r="F59" s="1"/>
      <c r="G59" s="117">
        <v>0.138</v>
      </c>
      <c r="H59" s="117">
        <v>0.138</v>
      </c>
      <c r="I59" s="117">
        <v>0.138</v>
      </c>
      <c r="J59" s="117">
        <v>0.138</v>
      </c>
      <c r="K59" s="117">
        <v>0.138</v>
      </c>
      <c r="L59" s="117">
        <v>0.138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1" t="s">
        <v>12</v>
      </c>
      <c r="C60" s="11"/>
      <c r="D60" s="1"/>
      <c r="E60" s="1"/>
      <c r="F60" s="1"/>
      <c r="G60" s="117">
        <v>0.14</v>
      </c>
      <c r="H60" s="117">
        <v>0.145</v>
      </c>
      <c r="I60" s="117">
        <v>0.145</v>
      </c>
      <c r="J60" s="117">
        <v>0.145</v>
      </c>
      <c r="K60" s="117">
        <v>0.145</v>
      </c>
      <c r="L60" s="117">
        <v>0.145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5" t="s">
        <v>152</v>
      </c>
      <c r="C62" s="128">
        <v>-42.896</v>
      </c>
      <c r="D62" s="128">
        <v>-109.975</v>
      </c>
      <c r="E62" s="128">
        <f>-387.4</f>
        <v>-387.4</v>
      </c>
      <c r="F62" s="128">
        <v>0.0</v>
      </c>
      <c r="G62" s="120">
        <f t="shared" ref="G62:L62" si="27">-G63*(G8+G14+G20+G26+G32)</f>
        <v>-72.4954</v>
      </c>
      <c r="H62" s="120">
        <f t="shared" si="27"/>
        <v>-78.855559</v>
      </c>
      <c r="I62" s="120">
        <f t="shared" si="27"/>
        <v>-84.37245744</v>
      </c>
      <c r="J62" s="120">
        <f t="shared" si="27"/>
        <v>-89.07801373</v>
      </c>
      <c r="K62" s="120">
        <f t="shared" si="27"/>
        <v>-94.06591042</v>
      </c>
      <c r="L62" s="120">
        <f t="shared" si="27"/>
        <v>-98.41935119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29" t="s">
        <v>138</v>
      </c>
      <c r="C63" s="17">
        <f t="shared" ref="C63:F63" si="28">-C62/(C8+C14+C20+C26+C32)</f>
        <v>0.02268429402</v>
      </c>
      <c r="D63" s="17">
        <f t="shared" si="28"/>
        <v>0.05084373555</v>
      </c>
      <c r="E63" s="17">
        <f t="shared" si="28"/>
        <v>0.1640830157</v>
      </c>
      <c r="F63" s="17">
        <f t="shared" si="28"/>
        <v>0</v>
      </c>
      <c r="G63" s="116">
        <f t="shared" ref="G63:L63" si="29">+OFFSET(G63,$E$4,)</f>
        <v>0.02</v>
      </c>
      <c r="H63" s="116">
        <f t="shared" si="29"/>
        <v>0.02</v>
      </c>
      <c r="I63" s="116">
        <f t="shared" si="29"/>
        <v>0.02</v>
      </c>
      <c r="J63" s="116">
        <f t="shared" si="29"/>
        <v>0.02</v>
      </c>
      <c r="K63" s="116">
        <f t="shared" si="29"/>
        <v>0.02</v>
      </c>
      <c r="L63" s="116">
        <f t="shared" si="29"/>
        <v>0.02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1" t="s">
        <v>9</v>
      </c>
      <c r="C64" s="11"/>
      <c r="D64" s="1"/>
      <c r="E64" s="1"/>
      <c r="F64" s="1"/>
      <c r="G64" s="117">
        <v>0.02</v>
      </c>
      <c r="H64" s="117">
        <v>0.02</v>
      </c>
      <c r="I64" s="117">
        <v>0.02</v>
      </c>
      <c r="J64" s="117">
        <v>0.02</v>
      </c>
      <c r="K64" s="117">
        <v>0.02</v>
      </c>
      <c r="L64" s="117">
        <v>0.02</v>
      </c>
      <c r="M64" s="1"/>
      <c r="N64" s="1" t="s">
        <v>153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1" t="s">
        <v>11</v>
      </c>
      <c r="C65" s="11"/>
      <c r="D65" s="1"/>
      <c r="E65" s="1"/>
      <c r="F65" s="1"/>
      <c r="G65" s="117">
        <v>0.02</v>
      </c>
      <c r="H65" s="117">
        <v>0.02</v>
      </c>
      <c r="I65" s="117">
        <v>0.02</v>
      </c>
      <c r="J65" s="117">
        <v>0.02</v>
      </c>
      <c r="K65" s="117">
        <v>0.02</v>
      </c>
      <c r="L65" s="117">
        <v>0.02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1" t="s">
        <v>12</v>
      </c>
      <c r="C66" s="11"/>
      <c r="D66" s="1"/>
      <c r="E66" s="1"/>
      <c r="F66" s="1"/>
      <c r="G66" s="117">
        <v>0.02</v>
      </c>
      <c r="H66" s="117">
        <v>0.03</v>
      </c>
      <c r="I66" s="117">
        <v>0.03</v>
      </c>
      <c r="J66" s="117">
        <v>0.03</v>
      </c>
      <c r="K66" s="117">
        <v>0.03</v>
      </c>
      <c r="L66" s="117">
        <v>0.03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1"/>
      <c r="C67" s="11"/>
      <c r="D67" s="1"/>
      <c r="E67" s="1"/>
      <c r="F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5" t="s">
        <v>154</v>
      </c>
      <c r="C68" s="128">
        <v>-15.233</v>
      </c>
      <c r="D68" s="128">
        <v>-15.342</v>
      </c>
      <c r="E68" s="128">
        <v>-18.673</v>
      </c>
      <c r="F68" s="128">
        <v>-26.714</v>
      </c>
      <c r="G68" s="120">
        <f t="shared" ref="G68:L68" si="30">-G69*(G8+G14+G20+G26+G32)</f>
        <v>-28.99816</v>
      </c>
      <c r="H68" s="120">
        <f t="shared" si="30"/>
        <v>-31.5422236</v>
      </c>
      <c r="I68" s="120">
        <f t="shared" si="30"/>
        <v>-33.74898298</v>
      </c>
      <c r="J68" s="120">
        <f t="shared" si="30"/>
        <v>-35.63120549</v>
      </c>
      <c r="K68" s="120">
        <f t="shared" si="30"/>
        <v>-37.62636417</v>
      </c>
      <c r="L68" s="120">
        <f t="shared" si="30"/>
        <v>-39.36774047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29" t="s">
        <v>138</v>
      </c>
      <c r="C69" s="17">
        <f t="shared" ref="C69:F69" si="31">-C68/(C8+C14+C20+C26+C32)</f>
        <v>0.008055526177</v>
      </c>
      <c r="D69" s="17">
        <f t="shared" si="31"/>
        <v>0.007092926491</v>
      </c>
      <c r="E69" s="17">
        <f t="shared" si="31"/>
        <v>0.007908936891</v>
      </c>
      <c r="F69" s="17">
        <f t="shared" si="31"/>
        <v>0.008636922082</v>
      </c>
      <c r="G69" s="116">
        <f t="shared" ref="G69:L69" si="32">+OFFSET(G69,$E$4,)</f>
        <v>0.008</v>
      </c>
      <c r="H69" s="116">
        <f t="shared" si="32"/>
        <v>0.008</v>
      </c>
      <c r="I69" s="116">
        <f t="shared" si="32"/>
        <v>0.008</v>
      </c>
      <c r="J69" s="116">
        <f t="shared" si="32"/>
        <v>0.008</v>
      </c>
      <c r="K69" s="116">
        <f t="shared" si="32"/>
        <v>0.008</v>
      </c>
      <c r="L69" s="116">
        <f t="shared" si="32"/>
        <v>0.008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1" t="s">
        <v>9</v>
      </c>
      <c r="C70" s="11"/>
      <c r="D70" s="1"/>
      <c r="E70" s="1"/>
      <c r="F70" s="1"/>
      <c r="G70" s="117">
        <v>0.008</v>
      </c>
      <c r="H70" s="117">
        <v>0.008</v>
      </c>
      <c r="I70" s="117">
        <v>0.008</v>
      </c>
      <c r="J70" s="117">
        <v>0.008</v>
      </c>
      <c r="K70" s="117">
        <v>0.008</v>
      </c>
      <c r="L70" s="117">
        <v>0.008</v>
      </c>
      <c r="M70" s="1"/>
      <c r="N70" s="1" t="s">
        <v>155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1" t="s">
        <v>11</v>
      </c>
      <c r="C71" s="11"/>
      <c r="D71" s="1"/>
      <c r="E71" s="1"/>
      <c r="F71" s="1"/>
      <c r="G71" s="117">
        <v>0.007</v>
      </c>
      <c r="H71" s="117">
        <v>0.007</v>
      </c>
      <c r="I71" s="117">
        <v>0.007</v>
      </c>
      <c r="J71" s="117">
        <v>0.007</v>
      </c>
      <c r="K71" s="117">
        <v>0.007</v>
      </c>
      <c r="L71" s="117">
        <v>0.007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1" t="s">
        <v>12</v>
      </c>
      <c r="C72" s="11"/>
      <c r="D72" s="1"/>
      <c r="E72" s="1"/>
      <c r="F72" s="1"/>
      <c r="G72" s="117">
        <v>0.008</v>
      </c>
      <c r="H72" s="117">
        <v>0.009</v>
      </c>
      <c r="I72" s="117">
        <v>0.009</v>
      </c>
      <c r="J72" s="117">
        <v>0.009</v>
      </c>
      <c r="K72" s="117">
        <v>0.009</v>
      </c>
      <c r="L72" s="117">
        <v>0.009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5" t="s">
        <v>156</v>
      </c>
      <c r="C74" s="128">
        <v>-77.075</v>
      </c>
      <c r="D74" s="128">
        <v>-72.261</v>
      </c>
      <c r="E74" s="128">
        <v>-99.707</v>
      </c>
      <c r="F74" s="128">
        <v>-278.766</v>
      </c>
      <c r="G74" s="120">
        <f t="shared" ref="G74:L74" si="33">G75</f>
        <v>-150</v>
      </c>
      <c r="H74" s="120">
        <f t="shared" si="33"/>
        <v>-150</v>
      </c>
      <c r="I74" s="120">
        <f t="shared" si="33"/>
        <v>-150</v>
      </c>
      <c r="J74" s="120">
        <f t="shared" si="33"/>
        <v>-150</v>
      </c>
      <c r="K74" s="120">
        <f t="shared" si="33"/>
        <v>-150</v>
      </c>
      <c r="L74" s="120">
        <f t="shared" si="33"/>
        <v>-150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29" t="s">
        <v>157</v>
      </c>
      <c r="C75" s="132">
        <f>AVERAGE(C74:F74)</f>
        <v>-131.95225</v>
      </c>
      <c r="D75" s="116"/>
      <c r="E75" s="116"/>
      <c r="F75" s="116"/>
      <c r="G75" s="133">
        <f t="shared" ref="G75:L75" si="34">+OFFSET(G75,$E$4,)</f>
        <v>-150</v>
      </c>
      <c r="H75" s="133">
        <f t="shared" si="34"/>
        <v>-150</v>
      </c>
      <c r="I75" s="133">
        <f t="shared" si="34"/>
        <v>-150</v>
      </c>
      <c r="J75" s="133">
        <f t="shared" si="34"/>
        <v>-150</v>
      </c>
      <c r="K75" s="133">
        <f t="shared" si="34"/>
        <v>-150</v>
      </c>
      <c r="L75" s="133">
        <f t="shared" si="34"/>
        <v>-150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1" t="s">
        <v>9</v>
      </c>
      <c r="C76" s="11"/>
      <c r="D76" s="1"/>
      <c r="E76" s="1"/>
      <c r="F76" s="1"/>
      <c r="G76" s="134">
        <v>-150.0</v>
      </c>
      <c r="H76" s="134">
        <v>-150.0</v>
      </c>
      <c r="I76" s="134">
        <v>-150.0</v>
      </c>
      <c r="J76" s="134">
        <v>-150.0</v>
      </c>
      <c r="K76" s="134">
        <v>-150.0</v>
      </c>
      <c r="L76" s="134">
        <v>-150.0</v>
      </c>
      <c r="M76" s="1"/>
      <c r="N76" s="1" t="s">
        <v>151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1" t="s">
        <v>11</v>
      </c>
      <c r="C77" s="11"/>
      <c r="D77" s="1"/>
      <c r="E77" s="1"/>
      <c r="F77" s="1"/>
      <c r="G77" s="134">
        <v>-132.0</v>
      </c>
      <c r="H77" s="134">
        <v>-132.0</v>
      </c>
      <c r="I77" s="134">
        <v>-132.0</v>
      </c>
      <c r="J77" s="134">
        <v>-132.0</v>
      </c>
      <c r="K77" s="134">
        <v>-132.0</v>
      </c>
      <c r="L77" s="134">
        <v>-132.0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1" t="s">
        <v>12</v>
      </c>
      <c r="C78" s="11"/>
      <c r="D78" s="1"/>
      <c r="E78" s="1"/>
      <c r="F78" s="1"/>
      <c r="G78" s="134">
        <v>-250.0</v>
      </c>
      <c r="H78" s="134">
        <v>-250.0</v>
      </c>
      <c r="I78" s="134">
        <v>-250.0</v>
      </c>
      <c r="J78" s="134">
        <v>-250.0</v>
      </c>
      <c r="K78" s="134">
        <v>-250.0</v>
      </c>
      <c r="L78" s="134">
        <v>-250.0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1"/>
      <c r="C79" s="11"/>
      <c r="D79" s="1"/>
      <c r="E79" s="1"/>
      <c r="F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5" t="s">
        <v>93</v>
      </c>
      <c r="C80" s="128">
        <v>-2.203</v>
      </c>
      <c r="D80" s="128">
        <v>-4.089</v>
      </c>
      <c r="E80" s="128">
        <v>-2.962</v>
      </c>
      <c r="F80" s="128">
        <v>-0.714</v>
      </c>
      <c r="G80" s="120">
        <f t="shared" ref="G80:L80" si="35">G81</f>
        <v>-3</v>
      </c>
      <c r="H80" s="120">
        <f t="shared" si="35"/>
        <v>-3</v>
      </c>
      <c r="I80" s="120">
        <f t="shared" si="35"/>
        <v>-3</v>
      </c>
      <c r="J80" s="120">
        <f t="shared" si="35"/>
        <v>-3</v>
      </c>
      <c r="K80" s="120">
        <f t="shared" si="35"/>
        <v>-3</v>
      </c>
      <c r="L80" s="120">
        <f t="shared" si="35"/>
        <v>-3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29" t="s">
        <v>157</v>
      </c>
      <c r="C81" s="132">
        <f>AVERAGE(C80:F80)</f>
        <v>-2.492</v>
      </c>
      <c r="D81" s="116"/>
      <c r="E81" s="116"/>
      <c r="F81" s="116"/>
      <c r="G81" s="133">
        <f t="shared" ref="G81:L81" si="36">+OFFSET(G81,$E$4,)</f>
        <v>-3</v>
      </c>
      <c r="H81" s="133">
        <f t="shared" si="36"/>
        <v>-3</v>
      </c>
      <c r="I81" s="133">
        <f t="shared" si="36"/>
        <v>-3</v>
      </c>
      <c r="J81" s="133">
        <f t="shared" si="36"/>
        <v>-3</v>
      </c>
      <c r="K81" s="133">
        <f t="shared" si="36"/>
        <v>-3</v>
      </c>
      <c r="L81" s="133">
        <f t="shared" si="36"/>
        <v>-3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1" t="s">
        <v>9</v>
      </c>
      <c r="C82" s="11"/>
      <c r="D82" s="1"/>
      <c r="E82" s="1"/>
      <c r="F82" s="1"/>
      <c r="G82" s="134">
        <v>-3.0</v>
      </c>
      <c r="H82" s="134">
        <v>-3.0</v>
      </c>
      <c r="I82" s="134">
        <v>-3.0</v>
      </c>
      <c r="J82" s="134">
        <v>-3.0</v>
      </c>
      <c r="K82" s="134">
        <v>-3.0</v>
      </c>
      <c r="L82" s="134">
        <v>-3.0</v>
      </c>
      <c r="M82" s="1"/>
      <c r="N82" s="1" t="s">
        <v>151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1" t="s">
        <v>11</v>
      </c>
      <c r="C83" s="11"/>
      <c r="D83" s="1"/>
      <c r="E83" s="1"/>
      <c r="F83" s="1"/>
      <c r="G83" s="134">
        <v>-2.5</v>
      </c>
      <c r="H83" s="134">
        <v>-2.5</v>
      </c>
      <c r="I83" s="134">
        <v>-2.5</v>
      </c>
      <c r="J83" s="134">
        <v>-2.5</v>
      </c>
      <c r="K83" s="134">
        <v>-2.5</v>
      </c>
      <c r="L83" s="134">
        <v>-2.5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1" t="s">
        <v>12</v>
      </c>
      <c r="C84" s="11"/>
      <c r="D84" s="1"/>
      <c r="E84" s="1"/>
      <c r="F84" s="1"/>
      <c r="G84" s="134">
        <v>-3.5</v>
      </c>
      <c r="H84" s="134">
        <v>-3.5</v>
      </c>
      <c r="I84" s="134">
        <v>-3.5</v>
      </c>
      <c r="J84" s="134">
        <v>-3.5</v>
      </c>
      <c r="K84" s="134">
        <v>-3.5</v>
      </c>
      <c r="L84" s="134">
        <v>-3.5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1"/>
      <c r="C85" s="11"/>
      <c r="D85" s="1"/>
      <c r="E85" s="1"/>
      <c r="F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5" t="s">
        <v>94</v>
      </c>
      <c r="C86" s="128">
        <v>-8.3</v>
      </c>
      <c r="D86" s="128">
        <v>-5.8</v>
      </c>
      <c r="E86" s="128">
        <v>-3.271</v>
      </c>
      <c r="F86" s="128">
        <v>-4.35</v>
      </c>
      <c r="G86" s="120">
        <f t="shared" ref="G86:L86" si="37">G87</f>
        <v>-5.6</v>
      </c>
      <c r="H86" s="120">
        <f t="shared" si="37"/>
        <v>-5.6</v>
      </c>
      <c r="I86" s="120">
        <f t="shared" si="37"/>
        <v>-5.6</v>
      </c>
      <c r="J86" s="120">
        <f t="shared" si="37"/>
        <v>-5.6</v>
      </c>
      <c r="K86" s="120">
        <f t="shared" si="37"/>
        <v>-5.6</v>
      </c>
      <c r="L86" s="120">
        <f t="shared" si="37"/>
        <v>-5.6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29" t="s">
        <v>157</v>
      </c>
      <c r="C87" s="132">
        <f>AVERAGE(C86:F86)</f>
        <v>-5.43025</v>
      </c>
      <c r="D87" s="116"/>
      <c r="E87" s="116"/>
      <c r="F87" s="116"/>
      <c r="G87" s="133">
        <f t="shared" ref="G87:L87" si="38">+OFFSET(G87,$E$4,)</f>
        <v>-5.6</v>
      </c>
      <c r="H87" s="133">
        <f t="shared" si="38"/>
        <v>-5.6</v>
      </c>
      <c r="I87" s="133">
        <f t="shared" si="38"/>
        <v>-5.6</v>
      </c>
      <c r="J87" s="133">
        <f t="shared" si="38"/>
        <v>-5.6</v>
      </c>
      <c r="K87" s="133">
        <f t="shared" si="38"/>
        <v>-5.6</v>
      </c>
      <c r="L87" s="133">
        <f t="shared" si="38"/>
        <v>-5.6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1" t="s">
        <v>9</v>
      </c>
      <c r="C88" s="11"/>
      <c r="D88" s="1"/>
      <c r="E88" s="1"/>
      <c r="F88" s="1"/>
      <c r="G88" s="134">
        <v>-5.6</v>
      </c>
      <c r="H88" s="134">
        <v>-5.6</v>
      </c>
      <c r="I88" s="134">
        <v>-5.6</v>
      </c>
      <c r="J88" s="134">
        <v>-5.6</v>
      </c>
      <c r="K88" s="134">
        <v>-5.6</v>
      </c>
      <c r="L88" s="134">
        <v>-5.6</v>
      </c>
      <c r="M88" s="1"/>
      <c r="N88" s="1" t="s">
        <v>151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1" t="s">
        <v>11</v>
      </c>
      <c r="C89" s="11"/>
      <c r="D89" s="1"/>
      <c r="E89" s="1"/>
      <c r="F89" s="1"/>
      <c r="G89" s="134">
        <v>-5.4</v>
      </c>
      <c r="H89" s="134">
        <v>-5.4</v>
      </c>
      <c r="I89" s="134">
        <v>-5.4</v>
      </c>
      <c r="J89" s="134">
        <v>-5.4</v>
      </c>
      <c r="K89" s="134">
        <v>-5.4</v>
      </c>
      <c r="L89" s="134">
        <v>-5.4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1" t="s">
        <v>12</v>
      </c>
      <c r="C90" s="11"/>
      <c r="D90" s="1"/>
      <c r="E90" s="1"/>
      <c r="F90" s="1"/>
      <c r="G90" s="134">
        <v>-6.0</v>
      </c>
      <c r="H90" s="134">
        <v>-6.0</v>
      </c>
      <c r="I90" s="134">
        <v>-6.0</v>
      </c>
      <c r="J90" s="134">
        <v>-6.0</v>
      </c>
      <c r="K90" s="134">
        <v>-6.0</v>
      </c>
      <c r="L90" s="134">
        <v>-6.0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5" t="s">
        <v>158</v>
      </c>
      <c r="C92" s="128">
        <v>-80.162</v>
      </c>
      <c r="D92" s="128">
        <v>73.154</v>
      </c>
      <c r="E92" s="128">
        <v>-33.517</v>
      </c>
      <c r="F92" s="128">
        <v>-216.116</v>
      </c>
      <c r="G92" s="12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29" t="s">
        <v>39</v>
      </c>
      <c r="C93" s="17">
        <f>C92/'Operating Build'!B19</f>
        <v>-0.1303790592</v>
      </c>
      <c r="D93" s="17">
        <f>D92/'Operating Build'!C19</f>
        <v>0.1374109179</v>
      </c>
      <c r="E93" s="17">
        <f>E92/'Operating Build'!D19</f>
        <v>-0.08865477091</v>
      </c>
      <c r="F93" s="17">
        <f>F92/'Operating Build'!E19</f>
        <v>-1.269195081</v>
      </c>
      <c r="G93" s="135">
        <f t="shared" ref="G93:L93" si="39">+OFFSET(G93,$E$4,)</f>
        <v>0.21</v>
      </c>
      <c r="H93" s="135">
        <f t="shared" si="39"/>
        <v>0.21</v>
      </c>
      <c r="I93" s="135">
        <f t="shared" si="39"/>
        <v>0.21</v>
      </c>
      <c r="J93" s="135">
        <f t="shared" si="39"/>
        <v>0.21</v>
      </c>
      <c r="K93" s="135">
        <f t="shared" si="39"/>
        <v>0.21</v>
      </c>
      <c r="L93" s="135">
        <f t="shared" si="39"/>
        <v>0.21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1" t="s">
        <v>9</v>
      </c>
      <c r="C94" s="11"/>
      <c r="D94" s="1"/>
      <c r="E94" s="1"/>
      <c r="F94" s="1"/>
      <c r="G94" s="117">
        <v>0.21</v>
      </c>
      <c r="H94" s="117">
        <v>0.21</v>
      </c>
      <c r="I94" s="117">
        <v>0.21</v>
      </c>
      <c r="J94" s="117">
        <v>0.21</v>
      </c>
      <c r="K94" s="117">
        <v>0.21</v>
      </c>
      <c r="L94" s="117">
        <v>0.21</v>
      </c>
      <c r="M94" s="1"/>
      <c r="N94" s="1" t="s">
        <v>159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1" t="s">
        <v>11</v>
      </c>
      <c r="C95" s="11"/>
      <c r="D95" s="1"/>
      <c r="E95" s="1"/>
      <c r="F95" s="1"/>
      <c r="G95" s="117">
        <v>0.21</v>
      </c>
      <c r="H95" s="117">
        <v>0.21</v>
      </c>
      <c r="I95" s="117">
        <v>0.21</v>
      </c>
      <c r="J95" s="117">
        <v>0.21</v>
      </c>
      <c r="K95" s="117">
        <v>0.21</v>
      </c>
      <c r="L95" s="117">
        <v>0.21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1" t="s">
        <v>12</v>
      </c>
      <c r="C96" s="11"/>
      <c r="D96" s="1"/>
      <c r="E96" s="1"/>
      <c r="F96" s="1"/>
      <c r="G96" s="117">
        <v>0.21</v>
      </c>
      <c r="H96" s="117">
        <v>0.21</v>
      </c>
      <c r="I96" s="117">
        <v>0.21</v>
      </c>
      <c r="J96" s="117">
        <v>0.21</v>
      </c>
      <c r="K96" s="117">
        <v>0.21</v>
      </c>
      <c r="L96" s="117">
        <v>0.21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5" t="s">
        <v>99</v>
      </c>
      <c r="C98" s="128">
        <v>-20.4</v>
      </c>
      <c r="D98" s="128">
        <v>-40.1</v>
      </c>
      <c r="E98" s="128">
        <v>-15.0</v>
      </c>
      <c r="F98" s="128">
        <v>-27.6</v>
      </c>
      <c r="G98" s="120">
        <f t="shared" ref="G98:L98" si="40">-G99*(G8+G14+G20+G26+G32)</f>
        <v>-36.2477</v>
      </c>
      <c r="H98" s="120">
        <f t="shared" si="40"/>
        <v>-39.4277795</v>
      </c>
      <c r="I98" s="120">
        <f t="shared" si="40"/>
        <v>-42.18622872</v>
      </c>
      <c r="J98" s="120">
        <f t="shared" si="40"/>
        <v>-44.53900687</v>
      </c>
      <c r="K98" s="120">
        <f t="shared" si="40"/>
        <v>-47.03295521</v>
      </c>
      <c r="L98" s="120">
        <f t="shared" si="40"/>
        <v>-49.20967559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29" t="s">
        <v>160</v>
      </c>
      <c r="C99" s="115">
        <f t="shared" ref="C99:F99" si="41">-C98/(C8+C14+C20+C26+C32)</f>
        <v>0.01078794289</v>
      </c>
      <c r="D99" s="115">
        <f t="shared" si="41"/>
        <v>0.01853906611</v>
      </c>
      <c r="E99" s="115">
        <f t="shared" si="41"/>
        <v>0.006353240152</v>
      </c>
      <c r="F99" s="115">
        <f t="shared" si="41"/>
        <v>0.008923375364</v>
      </c>
      <c r="G99" s="116">
        <f t="shared" ref="G99:L99" si="42">+OFFSET(G99,$E$4,)</f>
        <v>0.01</v>
      </c>
      <c r="H99" s="116">
        <f t="shared" si="42"/>
        <v>0.01</v>
      </c>
      <c r="I99" s="116">
        <f t="shared" si="42"/>
        <v>0.01</v>
      </c>
      <c r="J99" s="116">
        <f t="shared" si="42"/>
        <v>0.01</v>
      </c>
      <c r="K99" s="116">
        <f t="shared" si="42"/>
        <v>0.01</v>
      </c>
      <c r="L99" s="116">
        <f t="shared" si="42"/>
        <v>0.01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1" t="s">
        <v>9</v>
      </c>
      <c r="C100" s="11"/>
      <c r="D100" s="1"/>
      <c r="E100" s="1"/>
      <c r="F100" s="1"/>
      <c r="G100" s="117">
        <v>0.01</v>
      </c>
      <c r="H100" s="117">
        <v>0.01</v>
      </c>
      <c r="I100" s="117">
        <v>0.01</v>
      </c>
      <c r="J100" s="117">
        <v>0.01</v>
      </c>
      <c r="K100" s="117">
        <v>0.01</v>
      </c>
      <c r="L100" s="117">
        <v>0.01</v>
      </c>
      <c r="M100" s="1"/>
      <c r="N100" s="1" t="s">
        <v>151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1" t="s">
        <v>11</v>
      </c>
      <c r="C101" s="11"/>
      <c r="D101" s="1"/>
      <c r="E101" s="1"/>
      <c r="F101" s="1"/>
      <c r="G101" s="117">
        <v>0.01</v>
      </c>
      <c r="H101" s="117">
        <v>0.01</v>
      </c>
      <c r="I101" s="117">
        <v>0.01</v>
      </c>
      <c r="J101" s="117">
        <v>0.01</v>
      </c>
      <c r="K101" s="117">
        <v>0.01</v>
      </c>
      <c r="L101" s="117">
        <v>0.01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1" t="s">
        <v>12</v>
      </c>
      <c r="C102" s="11"/>
      <c r="D102" s="1"/>
      <c r="E102" s="1"/>
      <c r="F102" s="1"/>
      <c r="G102" s="117">
        <v>0.015</v>
      </c>
      <c r="H102" s="117">
        <v>0.015</v>
      </c>
      <c r="I102" s="117">
        <v>0.015</v>
      </c>
      <c r="J102" s="117">
        <v>0.015</v>
      </c>
      <c r="K102" s="117">
        <v>0.015</v>
      </c>
      <c r="L102" s="117">
        <v>0.015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5"/>
      <c r="C104" s="15"/>
      <c r="D104" s="136"/>
      <c r="E104" s="136"/>
      <c r="F104" s="136"/>
      <c r="G104" s="120"/>
      <c r="H104" s="120"/>
      <c r="I104" s="120"/>
      <c r="J104" s="120"/>
      <c r="K104" s="120"/>
      <c r="L104" s="12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29"/>
      <c r="C105" s="29"/>
      <c r="D105" s="137"/>
      <c r="E105" s="137"/>
      <c r="F105" s="137"/>
      <c r="G105" s="137"/>
      <c r="H105" s="137"/>
      <c r="I105" s="137"/>
      <c r="J105" s="137"/>
      <c r="K105" s="137"/>
      <c r="L105" s="13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1"/>
      <c r="C106" s="11"/>
      <c r="D106" s="1"/>
      <c r="E106" s="1"/>
      <c r="F106" s="1"/>
      <c r="G106" s="138"/>
      <c r="H106" s="138"/>
      <c r="I106" s="138"/>
      <c r="J106" s="138"/>
      <c r="K106" s="138"/>
      <c r="L106" s="138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1"/>
      <c r="C107" s="11"/>
      <c r="D107" s="1"/>
      <c r="E107" s="1"/>
      <c r="F107" s="1"/>
      <c r="G107" s="138"/>
      <c r="H107" s="138"/>
      <c r="I107" s="138"/>
      <c r="J107" s="138"/>
      <c r="K107" s="138"/>
      <c r="L107" s="138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1"/>
      <c r="C108" s="11"/>
      <c r="D108" s="1"/>
      <c r="E108" s="1"/>
      <c r="F108" s="1"/>
      <c r="G108" s="138"/>
      <c r="H108" s="138"/>
      <c r="I108" s="138"/>
      <c r="J108" s="138"/>
      <c r="K108" s="138"/>
      <c r="L108" s="13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5"/>
      <c r="C110" s="15"/>
      <c r="D110" s="136"/>
      <c r="E110" s="136"/>
      <c r="F110" s="136"/>
      <c r="G110" s="120"/>
      <c r="H110" s="120"/>
      <c r="I110" s="120"/>
      <c r="J110" s="120"/>
      <c r="K110" s="120"/>
      <c r="L110" s="12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29"/>
      <c r="C111" s="29"/>
      <c r="D111" s="137"/>
      <c r="E111" s="137"/>
      <c r="F111" s="137"/>
      <c r="G111" s="137"/>
      <c r="H111" s="137"/>
      <c r="I111" s="137"/>
      <c r="J111" s="137"/>
      <c r="K111" s="137"/>
      <c r="L111" s="13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1"/>
      <c r="C112" s="11"/>
      <c r="D112" s="1"/>
      <c r="E112" s="1"/>
      <c r="F112" s="1"/>
      <c r="G112" s="138"/>
      <c r="H112" s="138"/>
      <c r="I112" s="138"/>
      <c r="J112" s="138"/>
      <c r="K112" s="138"/>
      <c r="L112" s="13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1"/>
      <c r="C113" s="11"/>
      <c r="D113" s="1"/>
      <c r="E113" s="1"/>
      <c r="F113" s="1"/>
      <c r="G113" s="138"/>
      <c r="H113" s="138"/>
      <c r="I113" s="138"/>
      <c r="J113" s="138"/>
      <c r="K113" s="138"/>
      <c r="L113" s="13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1"/>
      <c r="C114" s="11"/>
      <c r="D114" s="1"/>
      <c r="E114" s="1"/>
      <c r="F114" s="1"/>
      <c r="G114" s="138"/>
      <c r="H114" s="138"/>
      <c r="I114" s="138"/>
      <c r="J114" s="138"/>
      <c r="K114" s="138"/>
      <c r="L114" s="13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5"/>
      <c r="C116" s="15"/>
      <c r="D116" s="136"/>
      <c r="E116" s="136"/>
      <c r="F116" s="136"/>
      <c r="G116" s="120"/>
      <c r="H116" s="120"/>
      <c r="I116" s="120"/>
      <c r="J116" s="120"/>
      <c r="K116" s="120"/>
      <c r="L116" s="12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29"/>
      <c r="C117" s="29"/>
      <c r="D117" s="17"/>
      <c r="E117" s="139"/>
      <c r="F117" s="139"/>
      <c r="G117" s="17"/>
      <c r="H117" s="17"/>
      <c r="I117" s="17"/>
      <c r="J117" s="17"/>
      <c r="K117" s="17"/>
      <c r="L117" s="1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1"/>
      <c r="C118" s="11"/>
      <c r="D118" s="1"/>
      <c r="E118" s="1"/>
      <c r="F118" s="1"/>
      <c r="G118" s="140"/>
      <c r="H118" s="140"/>
      <c r="I118" s="140"/>
      <c r="J118" s="140"/>
      <c r="K118" s="140"/>
      <c r="L118" s="14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1"/>
      <c r="C119" s="11"/>
      <c r="D119" s="1"/>
      <c r="E119" s="1"/>
      <c r="F119" s="1"/>
      <c r="G119" s="140"/>
      <c r="H119" s="140"/>
      <c r="I119" s="140"/>
      <c r="J119" s="140"/>
      <c r="K119" s="140"/>
      <c r="L119" s="14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1"/>
      <c r="C120" s="11"/>
      <c r="D120" s="1"/>
      <c r="E120" s="1"/>
      <c r="F120" s="1"/>
      <c r="G120" s="140"/>
      <c r="H120" s="140"/>
      <c r="I120" s="140"/>
      <c r="J120" s="140"/>
      <c r="K120" s="140"/>
      <c r="L120" s="14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5"/>
      <c r="C122" s="15"/>
      <c r="D122" s="136"/>
      <c r="E122" s="136"/>
      <c r="F122" s="136"/>
      <c r="G122" s="120"/>
      <c r="H122" s="120"/>
      <c r="I122" s="120"/>
      <c r="J122" s="120"/>
      <c r="K122" s="120"/>
      <c r="L122" s="12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29"/>
      <c r="C123" s="29"/>
      <c r="D123" s="139"/>
      <c r="E123" s="139"/>
      <c r="F123" s="139"/>
      <c r="G123" s="139"/>
      <c r="H123" s="139"/>
      <c r="I123" s="139"/>
      <c r="J123" s="139"/>
      <c r="K123" s="139"/>
      <c r="L123" s="13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1"/>
      <c r="C124" s="11"/>
      <c r="D124" s="1"/>
      <c r="E124" s="1"/>
      <c r="F124" s="1"/>
      <c r="G124" s="141"/>
      <c r="H124" s="141"/>
      <c r="I124" s="141"/>
      <c r="J124" s="141"/>
      <c r="K124" s="141"/>
      <c r="L124" s="14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1"/>
      <c r="C125" s="11"/>
      <c r="D125" s="1"/>
      <c r="E125" s="1"/>
      <c r="F125" s="1"/>
      <c r="G125" s="141"/>
      <c r="H125" s="141"/>
      <c r="I125" s="141"/>
      <c r="J125" s="141"/>
      <c r="K125" s="141"/>
      <c r="L125" s="14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1"/>
      <c r="C126" s="11"/>
      <c r="D126" s="1"/>
      <c r="E126" s="1"/>
      <c r="F126" s="1"/>
      <c r="G126" s="141"/>
      <c r="H126" s="141"/>
      <c r="I126" s="141"/>
      <c r="J126" s="141"/>
      <c r="K126" s="141"/>
      <c r="L126" s="14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5"/>
      <c r="C128" s="15"/>
      <c r="D128" s="136"/>
      <c r="E128" s="136"/>
      <c r="F128" s="136"/>
      <c r="G128" s="120"/>
      <c r="H128" s="120"/>
      <c r="I128" s="120"/>
      <c r="J128" s="120"/>
      <c r="K128" s="120"/>
      <c r="L128" s="12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29"/>
      <c r="C129" s="29"/>
      <c r="D129" s="17"/>
      <c r="E129" s="17"/>
      <c r="F129" s="17"/>
      <c r="G129" s="17"/>
      <c r="H129" s="17"/>
      <c r="I129" s="17"/>
      <c r="J129" s="17"/>
      <c r="K129" s="17"/>
      <c r="L129" s="1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1"/>
      <c r="C130" s="11"/>
      <c r="D130" s="1"/>
      <c r="E130" s="1"/>
      <c r="F130" s="1"/>
      <c r="G130" s="140"/>
      <c r="H130" s="140"/>
      <c r="I130" s="140"/>
      <c r="J130" s="140"/>
      <c r="K130" s="140"/>
      <c r="L130" s="14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1"/>
      <c r="C131" s="11"/>
      <c r="D131" s="1"/>
      <c r="E131" s="1"/>
      <c r="F131" s="1"/>
      <c r="G131" s="140"/>
      <c r="H131" s="140"/>
      <c r="I131" s="140"/>
      <c r="J131" s="140"/>
      <c r="K131" s="140"/>
      <c r="L131" s="14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1"/>
      <c r="C132" s="11"/>
      <c r="D132" s="1"/>
      <c r="E132" s="1"/>
      <c r="F132" s="1"/>
      <c r="G132" s="140"/>
      <c r="H132" s="140"/>
      <c r="I132" s="140"/>
      <c r="J132" s="140"/>
      <c r="K132" s="140"/>
      <c r="L132" s="14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5"/>
      <c r="C134" s="15"/>
      <c r="D134" s="136"/>
      <c r="E134" s="136"/>
      <c r="F134" s="136"/>
      <c r="G134" s="120"/>
      <c r="H134" s="120"/>
      <c r="I134" s="120"/>
      <c r="J134" s="120"/>
      <c r="K134" s="120"/>
      <c r="L134" s="12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29"/>
      <c r="C135" s="29"/>
      <c r="D135" s="137"/>
      <c r="E135" s="137"/>
      <c r="F135" s="137"/>
      <c r="G135" s="137"/>
      <c r="H135" s="137"/>
      <c r="I135" s="137"/>
      <c r="J135" s="137"/>
      <c r="K135" s="137"/>
      <c r="L135" s="13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1"/>
      <c r="C136" s="11"/>
      <c r="D136" s="1"/>
      <c r="E136" s="1"/>
      <c r="F136" s="1"/>
      <c r="G136" s="138"/>
      <c r="H136" s="138"/>
      <c r="I136" s="138"/>
      <c r="J136" s="138"/>
      <c r="K136" s="138"/>
      <c r="L136" s="1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1"/>
      <c r="C137" s="11"/>
      <c r="D137" s="1"/>
      <c r="E137" s="1"/>
      <c r="F137" s="1"/>
      <c r="G137" s="138"/>
      <c r="H137" s="138"/>
      <c r="I137" s="138"/>
      <c r="J137" s="138"/>
      <c r="K137" s="138"/>
      <c r="L137" s="138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1"/>
      <c r="C138" s="11"/>
      <c r="D138" s="1"/>
      <c r="E138" s="1"/>
      <c r="F138" s="1"/>
      <c r="G138" s="138"/>
      <c r="H138" s="138"/>
      <c r="I138" s="138"/>
      <c r="J138" s="138"/>
      <c r="K138" s="138"/>
      <c r="L138" s="13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5"/>
      <c r="C140" s="15"/>
      <c r="D140" s="136"/>
      <c r="E140" s="136"/>
      <c r="F140" s="136"/>
      <c r="G140" s="120"/>
      <c r="H140" s="120"/>
      <c r="I140" s="120"/>
      <c r="J140" s="120"/>
      <c r="K140" s="120"/>
      <c r="L140" s="12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29"/>
      <c r="C141" s="29"/>
      <c r="D141" s="115"/>
      <c r="E141" s="115"/>
      <c r="F141" s="115"/>
      <c r="G141" s="115"/>
      <c r="H141" s="115"/>
      <c r="I141" s="115"/>
      <c r="J141" s="115"/>
      <c r="K141" s="115"/>
      <c r="L141" s="1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1"/>
      <c r="C142" s="11"/>
      <c r="D142" s="1"/>
      <c r="E142" s="1"/>
      <c r="F142" s="1"/>
      <c r="G142" s="142"/>
      <c r="H142" s="142"/>
      <c r="I142" s="142"/>
      <c r="J142" s="142"/>
      <c r="K142" s="142"/>
      <c r="L142" s="14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1"/>
      <c r="C143" s="11"/>
      <c r="D143" s="1"/>
      <c r="E143" s="1"/>
      <c r="F143" s="1"/>
      <c r="G143" s="142"/>
      <c r="H143" s="142"/>
      <c r="I143" s="142"/>
      <c r="J143" s="142"/>
      <c r="K143" s="142"/>
      <c r="L143" s="14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1"/>
      <c r="C144" s="11"/>
      <c r="D144" s="1"/>
      <c r="E144" s="1"/>
      <c r="F144" s="1"/>
      <c r="G144" s="142"/>
      <c r="H144" s="142"/>
      <c r="I144" s="142"/>
      <c r="J144" s="142"/>
      <c r="K144" s="142"/>
      <c r="L144" s="14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5"/>
      <c r="C146" s="15"/>
      <c r="D146" s="136"/>
      <c r="E146" s="136"/>
      <c r="F146" s="136"/>
      <c r="G146" s="120"/>
      <c r="H146" s="120"/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29"/>
      <c r="C147" s="29"/>
      <c r="D147" s="115"/>
      <c r="E147" s="115"/>
      <c r="F147" s="115"/>
      <c r="G147" s="115"/>
      <c r="H147" s="115"/>
      <c r="I147" s="115"/>
      <c r="J147" s="115"/>
      <c r="K147" s="115"/>
      <c r="L147" s="1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1"/>
      <c r="C148" s="11"/>
      <c r="D148" s="1"/>
      <c r="E148" s="1"/>
      <c r="F148" s="1"/>
      <c r="G148" s="142"/>
      <c r="H148" s="142"/>
      <c r="I148" s="142"/>
      <c r="J148" s="142"/>
      <c r="K148" s="142"/>
      <c r="L148" s="14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1"/>
      <c r="C149" s="11"/>
      <c r="D149" s="1"/>
      <c r="E149" s="1"/>
      <c r="F149" s="1"/>
      <c r="G149" s="142"/>
      <c r="H149" s="142"/>
      <c r="I149" s="142"/>
      <c r="J149" s="142"/>
      <c r="K149" s="142"/>
      <c r="L149" s="14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1"/>
      <c r="C150" s="11"/>
      <c r="D150" s="1"/>
      <c r="E150" s="1"/>
      <c r="F150" s="1"/>
      <c r="G150" s="142"/>
      <c r="H150" s="142"/>
      <c r="I150" s="142"/>
      <c r="J150" s="142"/>
      <c r="K150" s="142"/>
      <c r="L150" s="14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5"/>
      <c r="C152" s="15"/>
      <c r="D152" s="136"/>
      <c r="E152" s="136"/>
      <c r="F152" s="136"/>
      <c r="G152" s="120"/>
      <c r="H152" s="120"/>
      <c r="I152" s="120"/>
      <c r="J152" s="120"/>
      <c r="K152" s="120"/>
      <c r="L152" s="12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29"/>
      <c r="C153" s="29"/>
      <c r="D153" s="17"/>
      <c r="E153" s="17"/>
      <c r="F153" s="17"/>
      <c r="G153" s="17"/>
      <c r="H153" s="17"/>
      <c r="I153" s="17"/>
      <c r="J153" s="17"/>
      <c r="K153" s="17"/>
      <c r="L153" s="1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1"/>
      <c r="C154" s="11"/>
      <c r="D154" s="1"/>
      <c r="E154" s="1"/>
      <c r="F154" s="1"/>
      <c r="G154" s="140"/>
      <c r="H154" s="140"/>
      <c r="I154" s="140"/>
      <c r="J154" s="140"/>
      <c r="K154" s="140"/>
      <c r="L154" s="14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1"/>
      <c r="C155" s="11"/>
      <c r="D155" s="1"/>
      <c r="E155" s="1"/>
      <c r="F155" s="1"/>
      <c r="G155" s="140"/>
      <c r="H155" s="140"/>
      <c r="I155" s="140"/>
      <c r="J155" s="140"/>
      <c r="K155" s="140"/>
      <c r="L155" s="14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1"/>
      <c r="C156" s="11"/>
      <c r="D156" s="1"/>
      <c r="E156" s="1"/>
      <c r="F156" s="1"/>
      <c r="G156" s="140"/>
      <c r="H156" s="140"/>
      <c r="I156" s="140"/>
      <c r="J156" s="140"/>
      <c r="K156" s="140"/>
      <c r="L156" s="14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6:F6"/>
    <mergeCell ref="G6:L6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6" width="8.71"/>
  </cols>
  <sheetData>
    <row r="1">
      <c r="B1" s="2" t="s">
        <v>116</v>
      </c>
      <c r="C1" s="2"/>
      <c r="D1" s="2"/>
      <c r="E1" s="102"/>
      <c r="F1" s="102"/>
      <c r="G1" s="102"/>
      <c r="H1" s="102"/>
      <c r="I1" s="102"/>
      <c r="J1" s="102"/>
      <c r="K1" s="102"/>
    </row>
    <row r="2">
      <c r="B2" s="103" t="s">
        <v>161</v>
      </c>
      <c r="C2" s="103"/>
      <c r="D2" s="103"/>
      <c r="E2" s="102"/>
      <c r="F2" s="102"/>
      <c r="G2" s="102"/>
      <c r="H2" s="102"/>
      <c r="I2" s="102"/>
      <c r="J2" s="102"/>
      <c r="K2" s="102"/>
    </row>
    <row r="3">
      <c r="B3" s="104" t="s">
        <v>162</v>
      </c>
      <c r="C3" s="104"/>
      <c r="D3" s="105"/>
      <c r="E3" s="105"/>
      <c r="F3" s="102"/>
      <c r="G3" s="102"/>
      <c r="H3" s="102"/>
      <c r="I3" s="102"/>
      <c r="J3" s="102"/>
      <c r="K3" s="102"/>
    </row>
    <row r="4">
      <c r="B4" s="102"/>
      <c r="C4" s="110"/>
      <c r="D4" s="110"/>
      <c r="E4" s="110" t="s">
        <v>69</v>
      </c>
      <c r="F4" s="110" t="s">
        <v>70</v>
      </c>
      <c r="G4" s="111" t="s">
        <v>71</v>
      </c>
      <c r="H4" s="111" t="s">
        <v>72</v>
      </c>
      <c r="I4" s="111" t="s">
        <v>73</v>
      </c>
      <c r="J4" s="111" t="s">
        <v>74</v>
      </c>
      <c r="K4" s="111" t="s">
        <v>75</v>
      </c>
    </row>
    <row r="5">
      <c r="B5" s="1" t="s">
        <v>163</v>
      </c>
      <c r="C5" s="1"/>
      <c r="D5" s="1"/>
      <c r="E5" s="143">
        <v>9500.0</v>
      </c>
      <c r="F5" s="143">
        <v>8100.0</v>
      </c>
      <c r="G5" s="144">
        <f t="shared" ref="G5:K5" si="1">F5*(1+G6)</f>
        <v>6075</v>
      </c>
      <c r="H5" s="144">
        <f t="shared" si="1"/>
        <v>4252.5</v>
      </c>
      <c r="I5" s="144">
        <f t="shared" si="1"/>
        <v>2551.5</v>
      </c>
      <c r="J5" s="144">
        <f t="shared" si="1"/>
        <v>1275.75</v>
      </c>
      <c r="K5" s="144">
        <f t="shared" si="1"/>
        <v>574.0875</v>
      </c>
    </row>
    <row r="6">
      <c r="B6" s="1" t="s">
        <v>164</v>
      </c>
      <c r="C6" s="1"/>
      <c r="D6" s="1"/>
      <c r="E6" s="145"/>
      <c r="F6" s="146">
        <f>(F5/E5)-1</f>
        <v>-0.1473684211</v>
      </c>
      <c r="G6" s="147">
        <v>-0.25</v>
      </c>
      <c r="H6" s="147">
        <v>-0.3</v>
      </c>
      <c r="I6" s="147">
        <v>-0.4</v>
      </c>
      <c r="J6" s="147">
        <v>-0.5</v>
      </c>
      <c r="K6" s="147">
        <v>-0.55</v>
      </c>
    </row>
    <row r="7">
      <c r="B7" s="1"/>
      <c r="C7" s="1"/>
      <c r="D7" s="1"/>
      <c r="E7" s="145"/>
      <c r="F7" s="145"/>
      <c r="G7" s="1"/>
      <c r="H7" s="1"/>
      <c r="I7" s="1"/>
      <c r="J7" s="1"/>
      <c r="K7" s="1"/>
    </row>
    <row r="8">
      <c r="B8" s="1" t="s">
        <v>165</v>
      </c>
      <c r="C8" s="1"/>
      <c r="D8" s="1"/>
      <c r="E8" s="143">
        <v>6650.0</v>
      </c>
      <c r="F8" s="143">
        <v>8050.0</v>
      </c>
      <c r="G8" s="148">
        <f t="shared" ref="G8:K8" si="2">F8*(1+G9)</f>
        <v>10062.5</v>
      </c>
      <c r="H8" s="148">
        <f t="shared" si="2"/>
        <v>11571.875</v>
      </c>
      <c r="I8" s="148">
        <f t="shared" si="2"/>
        <v>12729.0625</v>
      </c>
      <c r="J8" s="148">
        <f t="shared" si="2"/>
        <v>13365.51563</v>
      </c>
      <c r="K8" s="148">
        <f t="shared" si="2"/>
        <v>14033.79141</v>
      </c>
    </row>
    <row r="9">
      <c r="B9" s="1" t="s">
        <v>164</v>
      </c>
      <c r="C9" s="1"/>
      <c r="D9" s="1"/>
      <c r="E9" s="149"/>
      <c r="F9" s="127">
        <f>($F$8/$E$8)-1</f>
        <v>0.2105263158</v>
      </c>
      <c r="G9" s="150">
        <v>0.25</v>
      </c>
      <c r="H9" s="150">
        <v>0.15</v>
      </c>
      <c r="I9" s="150">
        <v>0.1</v>
      </c>
      <c r="J9" s="150">
        <v>0.05</v>
      </c>
      <c r="K9" s="150">
        <v>0.05</v>
      </c>
    </row>
    <row r="10">
      <c r="B10" s="1"/>
      <c r="C10" s="1"/>
      <c r="D10" s="1"/>
      <c r="E10" s="149"/>
      <c r="F10" s="149"/>
      <c r="G10" s="1"/>
      <c r="H10" s="1"/>
      <c r="I10" s="1"/>
      <c r="J10" s="1"/>
      <c r="K10" s="1"/>
    </row>
    <row r="11">
      <c r="B11" s="1" t="s">
        <v>166</v>
      </c>
      <c r="C11" s="1"/>
      <c r="D11" s="1"/>
      <c r="E11" s="143">
        <v>250.0</v>
      </c>
      <c r="F11" s="143">
        <v>1450.0</v>
      </c>
      <c r="G11" s="148">
        <f t="shared" ref="G11:K11" si="3">F11*(1+G12)</f>
        <v>2175</v>
      </c>
      <c r="H11" s="148">
        <f t="shared" si="3"/>
        <v>2827.5</v>
      </c>
      <c r="I11" s="148">
        <f t="shared" si="3"/>
        <v>3675.75</v>
      </c>
      <c r="J11" s="148">
        <f t="shared" si="3"/>
        <v>4778.475</v>
      </c>
      <c r="K11" s="148">
        <f t="shared" si="3"/>
        <v>5256.3225</v>
      </c>
    </row>
    <row r="12">
      <c r="B12" s="1" t="s">
        <v>164</v>
      </c>
      <c r="C12" s="1"/>
      <c r="D12" s="1"/>
      <c r="E12" s="149"/>
      <c r="F12" s="127">
        <f>F11/E11-1</f>
        <v>4.8</v>
      </c>
      <c r="G12" s="150">
        <v>0.5</v>
      </c>
      <c r="H12" s="150">
        <v>0.3</v>
      </c>
      <c r="I12" s="150">
        <v>0.3</v>
      </c>
      <c r="J12" s="150">
        <v>0.3</v>
      </c>
      <c r="K12" s="150">
        <v>0.1</v>
      </c>
    </row>
    <row r="13">
      <c r="B13" s="1"/>
      <c r="C13" s="1"/>
      <c r="D13" s="1"/>
      <c r="E13" s="149"/>
      <c r="F13" s="149"/>
      <c r="G13" s="1"/>
      <c r="H13" s="1"/>
      <c r="I13" s="1"/>
      <c r="J13" s="1"/>
      <c r="K13" s="1"/>
    </row>
    <row r="14">
      <c r="B14" s="1" t="s">
        <v>167</v>
      </c>
      <c r="C14" s="1"/>
      <c r="D14" s="1"/>
      <c r="E14" s="143">
        <f>SUM(E8,E11)</f>
        <v>6900</v>
      </c>
      <c r="F14" s="143">
        <v>9500.0</v>
      </c>
      <c r="G14" s="148">
        <f t="shared" ref="G14:K14" si="4">SUM(G8,G11)</f>
        <v>12237.5</v>
      </c>
      <c r="H14" s="148">
        <f t="shared" si="4"/>
        <v>14399.375</v>
      </c>
      <c r="I14" s="148">
        <f t="shared" si="4"/>
        <v>16404.8125</v>
      </c>
      <c r="J14" s="148">
        <f t="shared" si="4"/>
        <v>18143.99063</v>
      </c>
      <c r="K14" s="148">
        <f t="shared" si="4"/>
        <v>19290.11391</v>
      </c>
    </row>
    <row r="15">
      <c r="B15" s="1" t="s">
        <v>164</v>
      </c>
      <c r="C15" s="1"/>
      <c r="D15" s="1"/>
      <c r="E15" s="143"/>
      <c r="F15" s="127">
        <f t="shared" ref="F15:K15" si="5">F14/E14-1</f>
        <v>0.3768115942</v>
      </c>
      <c r="G15" s="127">
        <f t="shared" si="5"/>
        <v>0.2881578947</v>
      </c>
      <c r="H15" s="127">
        <f t="shared" si="5"/>
        <v>0.176659857</v>
      </c>
      <c r="I15" s="127">
        <f t="shared" si="5"/>
        <v>0.1392725379</v>
      </c>
      <c r="J15" s="127">
        <f t="shared" si="5"/>
        <v>0.1060163367</v>
      </c>
      <c r="K15" s="127">
        <f t="shared" si="5"/>
        <v>0.0631682029</v>
      </c>
    </row>
    <row r="16">
      <c r="B16" s="1"/>
      <c r="C16" s="1"/>
      <c r="D16" s="1"/>
      <c r="E16" s="143"/>
      <c r="F16" s="143"/>
      <c r="G16" s="148"/>
      <c r="H16" s="148"/>
      <c r="I16" s="148"/>
      <c r="J16" s="148"/>
      <c r="K16" s="148"/>
    </row>
    <row r="17">
      <c r="B17" s="1" t="s">
        <v>168</v>
      </c>
      <c r="C17" s="1"/>
      <c r="D17" s="1"/>
      <c r="E17" s="143">
        <f>SUM(E5,E14)</f>
        <v>16400</v>
      </c>
      <c r="F17" s="143">
        <v>17600.0</v>
      </c>
      <c r="G17" s="148">
        <f t="shared" ref="G17:J17" si="6">SUM(G5,G14)</f>
        <v>18312.5</v>
      </c>
      <c r="H17" s="148">
        <f t="shared" si="6"/>
        <v>18651.875</v>
      </c>
      <c r="I17" s="148">
        <f t="shared" si="6"/>
        <v>18956.3125</v>
      </c>
      <c r="J17" s="148">
        <f t="shared" si="6"/>
        <v>19419.74063</v>
      </c>
      <c r="K17" s="148">
        <f>SUM(K5,K14)-1</f>
        <v>19863.20141</v>
      </c>
    </row>
    <row r="18">
      <c r="B18" s="1" t="s">
        <v>164</v>
      </c>
      <c r="C18" s="1"/>
      <c r="D18" s="1"/>
      <c r="E18" s="149"/>
      <c r="F18" s="127">
        <f t="shared" ref="F18:K18" si="7">(F17/E17)-1</f>
        <v>0.07317073171</v>
      </c>
      <c r="G18" s="127">
        <f t="shared" si="7"/>
        <v>0.04048295455</v>
      </c>
      <c r="H18" s="127">
        <f t="shared" si="7"/>
        <v>0.01853242321</v>
      </c>
      <c r="I18" s="127">
        <f t="shared" si="7"/>
        <v>0.01632208558</v>
      </c>
      <c r="J18" s="127">
        <f t="shared" si="7"/>
        <v>0.02444716635</v>
      </c>
      <c r="K18" s="127">
        <f t="shared" si="7"/>
        <v>0.02283556664</v>
      </c>
    </row>
    <row r="19">
      <c r="B19" s="1"/>
      <c r="C19" s="1"/>
      <c r="D19" s="1"/>
      <c r="E19" s="1"/>
      <c r="F19" s="1"/>
      <c r="G19" s="1"/>
      <c r="H19" s="1"/>
      <c r="I19" s="1"/>
      <c r="J19" s="1"/>
      <c r="K19" s="1"/>
    </row>
    <row r="20">
      <c r="B20" s="1" t="s">
        <v>121</v>
      </c>
      <c r="C20" s="1"/>
      <c r="D20" s="1"/>
      <c r="E20" s="151">
        <v>1801.0</v>
      </c>
      <c r="F20" s="118">
        <f t="shared" ref="F20:K20" si="8">E20*(1+F18)</f>
        <v>1932.780488</v>
      </c>
      <c r="G20" s="118">
        <f t="shared" si="8"/>
        <v>2011.025152</v>
      </c>
      <c r="H20" s="118">
        <f t="shared" si="8"/>
        <v>2048.294322</v>
      </c>
      <c r="I20" s="118">
        <f t="shared" si="8"/>
        <v>2081.726757</v>
      </c>
      <c r="J20" s="118">
        <f t="shared" si="8"/>
        <v>2132.619077</v>
      </c>
      <c r="K20" s="118">
        <f t="shared" si="8"/>
        <v>2181.318642</v>
      </c>
    </row>
    <row r="21" ht="15.75" customHeight="1">
      <c r="B21" s="1" t="s">
        <v>164</v>
      </c>
      <c r="C21" s="1"/>
      <c r="D21" s="1"/>
      <c r="E21" s="1"/>
      <c r="F21" s="152">
        <f t="shared" ref="F21:K21" si="9">F20/E20-1</f>
        <v>0.07317073171</v>
      </c>
      <c r="G21" s="153">
        <f t="shared" si="9"/>
        <v>0.04048295455</v>
      </c>
      <c r="H21" s="153">
        <f t="shared" si="9"/>
        <v>0.01853242321</v>
      </c>
      <c r="I21" s="153">
        <f t="shared" si="9"/>
        <v>0.01632208558</v>
      </c>
      <c r="J21" s="153">
        <f t="shared" si="9"/>
        <v>0.02444716635</v>
      </c>
      <c r="K21" s="154">
        <f t="shared" si="9"/>
        <v>0.02283556664</v>
      </c>
    </row>
    <row r="22" ht="15.75" customHeigh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15.75" customHeight="1">
      <c r="B23" s="103" t="s">
        <v>169</v>
      </c>
      <c r="C23" s="103"/>
      <c r="D23" s="103"/>
      <c r="E23" s="102"/>
      <c r="F23" s="102"/>
      <c r="G23" s="102"/>
      <c r="H23" s="102"/>
      <c r="I23" s="102"/>
      <c r="J23" s="102"/>
      <c r="K23" s="102"/>
    </row>
    <row r="24" ht="15.75" customHeight="1">
      <c r="B24" s="104" t="s">
        <v>162</v>
      </c>
      <c r="C24" s="104"/>
      <c r="D24" s="105"/>
      <c r="E24" s="105"/>
      <c r="F24" s="102"/>
      <c r="G24" s="102"/>
      <c r="H24" s="102"/>
      <c r="I24" s="102"/>
      <c r="J24" s="102"/>
      <c r="K24" s="102"/>
    </row>
    <row r="25" ht="15.75" customHeight="1">
      <c r="B25" s="102"/>
      <c r="C25" s="110"/>
      <c r="D25" s="110"/>
      <c r="E25" s="110" t="s">
        <v>69</v>
      </c>
      <c r="F25" s="110" t="s">
        <v>70</v>
      </c>
      <c r="G25" s="111" t="s">
        <v>71</v>
      </c>
      <c r="H25" s="111" t="s">
        <v>72</v>
      </c>
      <c r="I25" s="111" t="s">
        <v>73</v>
      </c>
      <c r="J25" s="111" t="s">
        <v>74</v>
      </c>
      <c r="K25" s="111" t="s">
        <v>75</v>
      </c>
    </row>
    <row r="26" ht="15.75" customHeight="1">
      <c r="B26" s="1" t="s">
        <v>170</v>
      </c>
      <c r="C26" s="1"/>
      <c r="D26" s="1"/>
      <c r="E26" s="1"/>
      <c r="F26" s="1"/>
      <c r="G26" s="155">
        <v>100.0</v>
      </c>
      <c r="H26" s="148">
        <f t="shared" ref="H26:K26" si="10">G26*(1+H27)</f>
        <v>200</v>
      </c>
      <c r="I26" s="148">
        <f t="shared" si="10"/>
        <v>320</v>
      </c>
      <c r="J26" s="148">
        <f t="shared" si="10"/>
        <v>426.656</v>
      </c>
      <c r="K26" s="148">
        <f t="shared" si="10"/>
        <v>533.32</v>
      </c>
    </row>
    <row r="27" ht="15.75" customHeight="1">
      <c r="B27" s="1" t="s">
        <v>164</v>
      </c>
      <c r="C27" s="1"/>
      <c r="D27" s="1"/>
      <c r="E27" s="1"/>
      <c r="F27" s="1"/>
      <c r="G27" s="1"/>
      <c r="H27" s="150">
        <v>1.0</v>
      </c>
      <c r="I27" s="150">
        <v>0.6</v>
      </c>
      <c r="J27" s="150">
        <v>0.3333</v>
      </c>
      <c r="K27" s="150">
        <v>0.25</v>
      </c>
    </row>
    <row r="28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5.75" customHeight="1">
      <c r="B29" s="1" t="s">
        <v>171</v>
      </c>
      <c r="C29" s="1"/>
      <c r="D29" s="1"/>
      <c r="E29" s="1"/>
      <c r="F29" s="1"/>
      <c r="G29" s="155">
        <v>100.0</v>
      </c>
      <c r="H29" s="148">
        <f t="shared" ref="H29:K29" si="11">G29*(1+H30)</f>
        <v>200</v>
      </c>
      <c r="I29" s="148">
        <f t="shared" si="11"/>
        <v>320</v>
      </c>
      <c r="J29" s="148">
        <f t="shared" si="11"/>
        <v>448</v>
      </c>
      <c r="K29" s="148">
        <f t="shared" si="11"/>
        <v>537.6</v>
      </c>
    </row>
    <row r="30" ht="15.75" customHeight="1">
      <c r="B30" s="1" t="s">
        <v>164</v>
      </c>
      <c r="C30" s="1"/>
      <c r="D30" s="1"/>
      <c r="E30" s="1"/>
      <c r="F30" s="1"/>
      <c r="G30" s="1"/>
      <c r="H30" s="150">
        <v>1.0</v>
      </c>
      <c r="I30" s="150">
        <v>0.6</v>
      </c>
      <c r="J30" s="150">
        <v>0.4</v>
      </c>
      <c r="K30" s="150">
        <v>0.2</v>
      </c>
    </row>
    <row r="3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5.75" customHeight="1">
      <c r="B32" s="1" t="s">
        <v>172</v>
      </c>
      <c r="C32" s="1"/>
      <c r="D32" s="1"/>
      <c r="E32" s="1"/>
      <c r="F32" s="1"/>
      <c r="G32" s="145">
        <v>40.0</v>
      </c>
      <c r="H32" s="1">
        <f t="shared" ref="H32:K32" si="12">G32*(1+H33)</f>
        <v>72</v>
      </c>
      <c r="I32" s="148">
        <f t="shared" si="12"/>
        <v>115.2</v>
      </c>
      <c r="J32" s="148">
        <f t="shared" si="12"/>
        <v>161.28</v>
      </c>
      <c r="K32" s="148">
        <f t="shared" si="12"/>
        <v>193.536</v>
      </c>
    </row>
    <row r="33" ht="15.75" customHeight="1">
      <c r="B33" s="1" t="s">
        <v>164</v>
      </c>
      <c r="C33" s="1"/>
      <c r="D33" s="1"/>
      <c r="E33" s="1"/>
      <c r="F33" s="1"/>
      <c r="G33" s="1"/>
      <c r="H33" s="150">
        <v>0.8</v>
      </c>
      <c r="I33" s="150">
        <v>0.6</v>
      </c>
      <c r="J33" s="150">
        <v>0.4</v>
      </c>
      <c r="K33" s="150">
        <v>0.2</v>
      </c>
    </row>
    <row r="34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5.75" customHeight="1">
      <c r="B35" s="1" t="s">
        <v>173</v>
      </c>
      <c r="C35" s="1"/>
      <c r="D35" s="1"/>
      <c r="E35" s="145">
        <v>500.0</v>
      </c>
      <c r="F35" s="145">
        <v>800.0</v>
      </c>
      <c r="G35" s="144">
        <f t="shared" ref="G35:K35" si="13">$F$35+SUM(G26,G29,G32)</f>
        <v>1040</v>
      </c>
      <c r="H35" s="144">
        <f t="shared" si="13"/>
        <v>1272</v>
      </c>
      <c r="I35" s="144">
        <f t="shared" si="13"/>
        <v>1555.2</v>
      </c>
      <c r="J35" s="144">
        <f t="shared" si="13"/>
        <v>1835.936</v>
      </c>
      <c r="K35" s="144">
        <f t="shared" si="13"/>
        <v>2064.456</v>
      </c>
    </row>
    <row r="36" ht="15.75" customHeight="1">
      <c r="B36" s="1" t="s">
        <v>164</v>
      </c>
      <c r="C36" s="1"/>
      <c r="D36" s="1"/>
      <c r="E36" s="1"/>
      <c r="F36" s="127">
        <f t="shared" ref="F36:K36" si="14">F35/E35-1</f>
        <v>0.6</v>
      </c>
      <c r="G36" s="127">
        <f t="shared" si="14"/>
        <v>0.3</v>
      </c>
      <c r="H36" s="127">
        <f t="shared" si="14"/>
        <v>0.2230769231</v>
      </c>
      <c r="I36" s="127">
        <f t="shared" si="14"/>
        <v>0.2226415094</v>
      </c>
      <c r="J36" s="127">
        <f t="shared" si="14"/>
        <v>0.1805144033</v>
      </c>
      <c r="K36" s="127">
        <f t="shared" si="14"/>
        <v>0.1244705698</v>
      </c>
    </row>
    <row r="37" ht="15.75" customHeigh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5.75" customHeight="1">
      <c r="B38" s="1" t="s">
        <v>125</v>
      </c>
      <c r="C38" s="1"/>
      <c r="D38" s="1"/>
      <c r="E38" s="151">
        <v>463.0</v>
      </c>
      <c r="F38" s="118">
        <f t="shared" ref="F38:K38" si="15">E38*(1+F36)</f>
        <v>740.8</v>
      </c>
      <c r="G38" s="118">
        <f t="shared" si="15"/>
        <v>963.04</v>
      </c>
      <c r="H38" s="118">
        <f t="shared" si="15"/>
        <v>1177.872</v>
      </c>
      <c r="I38" s="118">
        <f t="shared" si="15"/>
        <v>1440.1152</v>
      </c>
      <c r="J38" s="118">
        <f t="shared" si="15"/>
        <v>1700.076736</v>
      </c>
      <c r="K38" s="118">
        <f t="shared" si="15"/>
        <v>1911.686256</v>
      </c>
    </row>
    <row r="39" ht="15.75" customHeight="1">
      <c r="B39" s="1" t="s">
        <v>164</v>
      </c>
      <c r="C39" s="1"/>
      <c r="D39" s="1"/>
      <c r="E39" s="1"/>
      <c r="F39" s="152">
        <f t="shared" ref="F39:K39" si="16">F38/E38-1</f>
        <v>0.6</v>
      </c>
      <c r="G39" s="153">
        <f t="shared" si="16"/>
        <v>0.3</v>
      </c>
      <c r="H39" s="153">
        <f t="shared" si="16"/>
        <v>0.2230769231</v>
      </c>
      <c r="I39" s="153">
        <f t="shared" si="16"/>
        <v>0.2226415094</v>
      </c>
      <c r="J39" s="153">
        <f t="shared" si="16"/>
        <v>0.1805144033</v>
      </c>
      <c r="K39" s="154">
        <f t="shared" si="16"/>
        <v>0.1244705698</v>
      </c>
    </row>
    <row r="40" ht="15.75" customHeight="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5.7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7.29"/>
    <col customWidth="1" min="3" max="3" width="31.14"/>
    <col customWidth="1" min="4" max="4" width="11.57"/>
    <col customWidth="1" min="5" max="26" width="9.14"/>
  </cols>
  <sheetData>
    <row r="2">
      <c r="B2" s="156"/>
      <c r="C2" s="156"/>
      <c r="D2" s="156"/>
      <c r="E2" s="156"/>
      <c r="F2" s="157" t="s">
        <v>174</v>
      </c>
      <c r="G2" s="158"/>
      <c r="H2" s="157" t="s">
        <v>175</v>
      </c>
      <c r="I2" s="158"/>
      <c r="J2" s="157" t="s">
        <v>176</v>
      </c>
      <c r="K2" s="158"/>
      <c r="L2" s="159"/>
      <c r="M2" s="160"/>
    </row>
    <row r="3">
      <c r="B3" s="156" t="s">
        <v>177</v>
      </c>
      <c r="C3" s="156" t="s">
        <v>178</v>
      </c>
      <c r="D3" s="156" t="s">
        <v>179</v>
      </c>
      <c r="E3" s="156" t="s">
        <v>180</v>
      </c>
      <c r="F3" s="161" t="s">
        <v>181</v>
      </c>
      <c r="G3" s="161" t="s">
        <v>182</v>
      </c>
      <c r="H3" s="156" t="s">
        <v>181</v>
      </c>
      <c r="I3" s="156" t="s">
        <v>182</v>
      </c>
      <c r="J3" s="156" t="s">
        <v>181</v>
      </c>
      <c r="K3" s="156" t="s">
        <v>182</v>
      </c>
      <c r="L3" s="159"/>
      <c r="M3" s="160"/>
    </row>
    <row r="4">
      <c r="B4" s="160" t="s">
        <v>183</v>
      </c>
      <c r="C4" s="160" t="s">
        <v>184</v>
      </c>
      <c r="D4" s="162">
        <v>31331.1</v>
      </c>
      <c r="E4" s="162">
        <v>31883.3</v>
      </c>
      <c r="F4" s="163">
        <v>8.62</v>
      </c>
      <c r="G4" s="163">
        <v>8.35</v>
      </c>
      <c r="H4" s="163">
        <v>38.73</v>
      </c>
      <c r="I4" s="163">
        <v>23.04</v>
      </c>
      <c r="J4" s="163">
        <v>46.58</v>
      </c>
      <c r="K4" s="163">
        <v>23.21</v>
      </c>
      <c r="L4" s="164"/>
      <c r="M4" s="160"/>
    </row>
    <row r="5">
      <c r="B5" s="160" t="s">
        <v>185</v>
      </c>
      <c r="C5" s="160" t="s">
        <v>186</v>
      </c>
      <c r="D5" s="162">
        <v>8529.2</v>
      </c>
      <c r="E5" s="162">
        <v>8612.7</v>
      </c>
      <c r="F5" s="163">
        <v>2.68</v>
      </c>
      <c r="G5" s="163">
        <v>2.72</v>
      </c>
      <c r="H5" s="163">
        <v>7.2</v>
      </c>
      <c r="I5" s="163">
        <v>7.06</v>
      </c>
      <c r="J5" s="163">
        <v>11.65</v>
      </c>
      <c r="K5" s="163">
        <v>10.89</v>
      </c>
      <c r="L5" s="159"/>
      <c r="M5" s="160"/>
    </row>
    <row r="6">
      <c r="B6" s="160" t="s">
        <v>187</v>
      </c>
      <c r="C6" s="160" t="s">
        <v>188</v>
      </c>
      <c r="D6" s="162">
        <v>14714.2</v>
      </c>
      <c r="E6" s="162">
        <v>17216.2</v>
      </c>
      <c r="F6" s="163">
        <v>2.94</v>
      </c>
      <c r="G6" s="163">
        <v>3.23</v>
      </c>
      <c r="H6" s="163">
        <v>11.32</v>
      </c>
      <c r="I6" s="163">
        <v>14.12</v>
      </c>
      <c r="J6" s="163">
        <v>16.98</v>
      </c>
      <c r="K6" s="163">
        <v>18.84</v>
      </c>
      <c r="L6" s="159"/>
      <c r="M6" s="160"/>
    </row>
    <row r="7">
      <c r="B7" s="160" t="s">
        <v>189</v>
      </c>
      <c r="C7" s="160" t="s">
        <v>190</v>
      </c>
      <c r="D7" s="162">
        <v>13970.1</v>
      </c>
      <c r="E7" s="162">
        <v>33493.5</v>
      </c>
      <c r="F7" s="163">
        <v>2.02</v>
      </c>
      <c r="G7" s="163">
        <v>2.15</v>
      </c>
      <c r="H7" s="163">
        <v>5.53</v>
      </c>
      <c r="I7" s="163">
        <v>6.01</v>
      </c>
      <c r="J7" s="163">
        <v>17.7</v>
      </c>
      <c r="K7" s="163">
        <v>3.68</v>
      </c>
      <c r="L7" s="159"/>
      <c r="M7" s="160"/>
    </row>
    <row r="8">
      <c r="B8" s="160" t="s">
        <v>191</v>
      </c>
      <c r="C8" s="160" t="s">
        <v>192</v>
      </c>
      <c r="D8" s="162">
        <v>2958.8</v>
      </c>
      <c r="E8" s="162">
        <v>2845.7</v>
      </c>
      <c r="F8" s="163">
        <v>7.09</v>
      </c>
      <c r="G8" s="163">
        <v>5.42</v>
      </c>
      <c r="H8" s="163">
        <v>22.77</v>
      </c>
      <c r="I8" s="163">
        <v>13.45</v>
      </c>
      <c r="J8" s="163">
        <v>19.49</v>
      </c>
      <c r="K8" s="163">
        <v>20.79</v>
      </c>
      <c r="L8" s="159"/>
      <c r="M8" s="160"/>
    </row>
    <row r="9">
      <c r="B9" s="156" t="s">
        <v>193</v>
      </c>
      <c r="C9" s="156" t="s">
        <v>0</v>
      </c>
      <c r="D9" s="165">
        <v>9830.3</v>
      </c>
      <c r="E9" s="165">
        <v>14745.6</v>
      </c>
      <c r="F9" s="166">
        <v>4.12</v>
      </c>
      <c r="G9" s="166">
        <v>4.0</v>
      </c>
      <c r="H9" s="166">
        <v>9.04</v>
      </c>
      <c r="I9" s="166">
        <v>8.22</v>
      </c>
      <c r="J9" s="166" t="s">
        <v>194</v>
      </c>
      <c r="K9" s="166">
        <v>8.57</v>
      </c>
    </row>
    <row r="10">
      <c r="B10" s="167"/>
      <c r="C10" s="167"/>
      <c r="D10" s="168"/>
      <c r="E10" s="168"/>
      <c r="F10" s="169"/>
      <c r="G10" s="169"/>
      <c r="H10" s="169"/>
      <c r="I10" s="169"/>
      <c r="J10" s="170"/>
      <c r="K10" s="170"/>
      <c r="L10" s="167"/>
      <c r="M10" s="1"/>
    </row>
    <row r="11">
      <c r="B11" s="167"/>
      <c r="C11" s="30" t="s">
        <v>195</v>
      </c>
      <c r="D11" s="171">
        <f t="shared" ref="D11:K11" si="1">_xlfn.QUARTILE.INC(D4:D9,3)</f>
        <v>14528.175</v>
      </c>
      <c r="E11" s="171">
        <f t="shared" si="1"/>
        <v>28216.525</v>
      </c>
      <c r="F11" s="172">
        <f t="shared" si="1"/>
        <v>6.3475</v>
      </c>
      <c r="G11" s="172">
        <f t="shared" si="1"/>
        <v>5.065</v>
      </c>
      <c r="H11" s="172">
        <f t="shared" si="1"/>
        <v>19.9075</v>
      </c>
      <c r="I11" s="172">
        <f t="shared" si="1"/>
        <v>13.9525</v>
      </c>
      <c r="J11" s="172">
        <f t="shared" si="1"/>
        <v>19.49</v>
      </c>
      <c r="K11" s="173">
        <f t="shared" si="1"/>
        <v>20.3025</v>
      </c>
      <c r="L11" s="167"/>
      <c r="M11" s="1"/>
    </row>
    <row r="12">
      <c r="B12" s="167"/>
      <c r="C12" s="34" t="s">
        <v>196</v>
      </c>
      <c r="D12" s="174">
        <f t="shared" ref="D12:K12" si="2">AVERAGE(D4:D9)</f>
        <v>13555.61667</v>
      </c>
      <c r="E12" s="174">
        <f t="shared" si="2"/>
        <v>18132.83333</v>
      </c>
      <c r="F12" s="175">
        <f t="shared" si="2"/>
        <v>4.578333333</v>
      </c>
      <c r="G12" s="175">
        <f t="shared" si="2"/>
        <v>4.311666667</v>
      </c>
      <c r="H12" s="175">
        <f t="shared" si="2"/>
        <v>15.765</v>
      </c>
      <c r="I12" s="175">
        <f t="shared" si="2"/>
        <v>11.98333333</v>
      </c>
      <c r="J12" s="175">
        <f t="shared" si="2"/>
        <v>22.48</v>
      </c>
      <c r="K12" s="176">
        <f t="shared" si="2"/>
        <v>14.33</v>
      </c>
      <c r="L12" s="167"/>
      <c r="M12" s="1"/>
    </row>
    <row r="13">
      <c r="B13" s="167"/>
      <c r="C13" s="34" t="s">
        <v>197</v>
      </c>
      <c r="D13" s="174">
        <f t="shared" ref="D13:K13" si="3">MEDIAN(D4:D9)</f>
        <v>11900.2</v>
      </c>
      <c r="E13" s="174">
        <f t="shared" si="3"/>
        <v>15980.9</v>
      </c>
      <c r="F13" s="175">
        <f t="shared" si="3"/>
        <v>3.53</v>
      </c>
      <c r="G13" s="175">
        <f t="shared" si="3"/>
        <v>3.615</v>
      </c>
      <c r="H13" s="175">
        <f t="shared" si="3"/>
        <v>10.18</v>
      </c>
      <c r="I13" s="175">
        <f t="shared" si="3"/>
        <v>10.835</v>
      </c>
      <c r="J13" s="175">
        <f t="shared" si="3"/>
        <v>17.7</v>
      </c>
      <c r="K13" s="176">
        <f t="shared" si="3"/>
        <v>14.865</v>
      </c>
      <c r="L13" s="167"/>
      <c r="M13" s="1"/>
    </row>
    <row r="14">
      <c r="B14" s="167"/>
      <c r="C14" s="177" t="s">
        <v>198</v>
      </c>
      <c r="D14" s="178">
        <f t="shared" ref="D14:K14" si="4">_xlfn.QUARTILE.INC(D4:D9,1)</f>
        <v>8854.475</v>
      </c>
      <c r="E14" s="178">
        <f t="shared" si="4"/>
        <v>10145.925</v>
      </c>
      <c r="F14" s="179">
        <f t="shared" si="4"/>
        <v>2.745</v>
      </c>
      <c r="G14" s="179">
        <f t="shared" si="4"/>
        <v>2.8475</v>
      </c>
      <c r="H14" s="179">
        <f t="shared" si="4"/>
        <v>7.66</v>
      </c>
      <c r="I14" s="179">
        <f t="shared" si="4"/>
        <v>7.35</v>
      </c>
      <c r="J14" s="179">
        <f t="shared" si="4"/>
        <v>16.98</v>
      </c>
      <c r="K14" s="180">
        <f t="shared" si="4"/>
        <v>9.15</v>
      </c>
      <c r="L14" s="167"/>
      <c r="M14" s="1"/>
    </row>
    <row r="15">
      <c r="B15" s="167"/>
      <c r="C15" s="167"/>
      <c r="D15" s="168"/>
      <c r="E15" s="168"/>
      <c r="F15" s="170"/>
      <c r="G15" s="170"/>
      <c r="H15" s="170"/>
      <c r="I15" s="170"/>
      <c r="J15" s="170"/>
      <c r="K15" s="170"/>
      <c r="L15" s="167"/>
      <c r="M15" s="1"/>
    </row>
    <row r="16">
      <c r="B16" s="1"/>
      <c r="C16" s="1"/>
      <c r="D16" s="1"/>
      <c r="E16" s="1"/>
      <c r="F16" s="1"/>
      <c r="G16" s="1"/>
      <c r="H16" s="1"/>
      <c r="I16" s="1"/>
      <c r="K16" s="1"/>
      <c r="L16" s="167"/>
      <c r="M16" s="1"/>
    </row>
    <row r="17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"/>
    </row>
    <row r="18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>
      <c r="B19" s="156"/>
      <c r="C19" s="156"/>
      <c r="D19" s="181" t="s">
        <v>19</v>
      </c>
      <c r="E19" s="108"/>
      <c r="F19" s="181" t="s">
        <v>29</v>
      </c>
      <c r="G19" s="108"/>
      <c r="H19" s="157" t="s">
        <v>199</v>
      </c>
      <c r="I19" s="158"/>
      <c r="J19" s="157" t="s">
        <v>200</v>
      </c>
      <c r="K19" s="158"/>
      <c r="L19" s="157" t="s">
        <v>201</v>
      </c>
      <c r="M19" s="158"/>
    </row>
    <row r="20">
      <c r="B20" s="156" t="s">
        <v>177</v>
      </c>
      <c r="C20" s="156" t="s">
        <v>178</v>
      </c>
      <c r="D20" s="182" t="s">
        <v>181</v>
      </c>
      <c r="E20" s="182" t="s">
        <v>202</v>
      </c>
      <c r="F20" s="182" t="s">
        <v>181</v>
      </c>
      <c r="G20" s="182" t="s">
        <v>202</v>
      </c>
      <c r="H20" s="156" t="s">
        <v>181</v>
      </c>
      <c r="I20" s="156" t="s">
        <v>202</v>
      </c>
      <c r="J20" s="156" t="s">
        <v>181</v>
      </c>
      <c r="K20" s="156" t="s">
        <v>202</v>
      </c>
      <c r="L20" s="156" t="s">
        <v>181</v>
      </c>
      <c r="M20" s="156" t="s">
        <v>202</v>
      </c>
    </row>
    <row r="21" ht="15.75" customHeight="1">
      <c r="B21" s="160" t="s">
        <v>183</v>
      </c>
      <c r="C21" s="160" t="s">
        <v>184</v>
      </c>
      <c r="D21" s="162">
        <v>3701.5</v>
      </c>
      <c r="E21" s="162">
        <v>3226.4</v>
      </c>
      <c r="F21" s="162">
        <v>809.9</v>
      </c>
      <c r="G21" s="162">
        <v>631.7</v>
      </c>
      <c r="H21" s="183">
        <v>0.252</v>
      </c>
      <c r="I21" s="183">
        <v>0.466</v>
      </c>
      <c r="J21" s="183">
        <v>0.282</v>
      </c>
      <c r="K21" s="183">
        <v>0.139</v>
      </c>
      <c r="L21" s="183">
        <v>0.219</v>
      </c>
      <c r="M21" s="183">
        <v>0.196</v>
      </c>
    </row>
    <row r="22" ht="15.75" customHeight="1">
      <c r="B22" s="160" t="s">
        <v>185</v>
      </c>
      <c r="C22" s="160" t="s">
        <v>186</v>
      </c>
      <c r="D22" s="162">
        <v>3200.6</v>
      </c>
      <c r="E22" s="162">
        <v>2999.1</v>
      </c>
      <c r="F22" s="162">
        <v>1157.1</v>
      </c>
      <c r="G22" s="162">
        <v>1088.6</v>
      </c>
      <c r="H22" s="183">
        <v>0.196</v>
      </c>
      <c r="I22" s="183">
        <v>0.116</v>
      </c>
      <c r="J22" s="183">
        <v>0.063</v>
      </c>
      <c r="K22" s="183">
        <v>0.171</v>
      </c>
      <c r="L22" s="183">
        <v>0.362</v>
      </c>
      <c r="M22" s="183">
        <v>0.363</v>
      </c>
    </row>
    <row r="23" ht="15.75" customHeight="1">
      <c r="B23" s="160" t="s">
        <v>187</v>
      </c>
      <c r="C23" s="160" t="s">
        <v>188</v>
      </c>
      <c r="D23" s="162">
        <v>5854.0</v>
      </c>
      <c r="E23" s="162">
        <v>5777.0</v>
      </c>
      <c r="F23" s="162">
        <v>1479.0</v>
      </c>
      <c r="G23" s="162">
        <v>1593.0</v>
      </c>
      <c r="H23" s="183">
        <v>0.061</v>
      </c>
      <c r="I23" s="183">
        <v>0.08</v>
      </c>
      <c r="J23" s="183">
        <v>0.102</v>
      </c>
      <c r="K23" s="183">
        <v>0.187</v>
      </c>
      <c r="L23" s="183">
        <v>0.253</v>
      </c>
      <c r="M23" s="183">
        <v>0.276</v>
      </c>
    </row>
    <row r="24" ht="15.75" customHeight="1">
      <c r="B24" s="160" t="s">
        <v>189</v>
      </c>
      <c r="C24" s="160" t="s">
        <v>190</v>
      </c>
      <c r="D24" s="162">
        <v>16728.3</v>
      </c>
      <c r="E24" s="162">
        <v>17886.3</v>
      </c>
      <c r="F24" s="162">
        <v>5998.5</v>
      </c>
      <c r="G24" s="162">
        <v>6180.8</v>
      </c>
      <c r="H24" s="184">
        <v>-0.026</v>
      </c>
      <c r="I24" s="183">
        <v>0.497</v>
      </c>
      <c r="J24" s="183">
        <v>1.255</v>
      </c>
      <c r="K24" s="183">
        <v>1.324</v>
      </c>
      <c r="L24" s="183">
        <v>0.359</v>
      </c>
      <c r="M24" s="183">
        <v>0.341</v>
      </c>
    </row>
    <row r="25" ht="15.75" customHeight="1">
      <c r="B25" s="160" t="s">
        <v>191</v>
      </c>
      <c r="C25" s="160" t="s">
        <v>192</v>
      </c>
      <c r="D25" s="185">
        <v>400.8</v>
      </c>
      <c r="E25" s="185">
        <v>305.4</v>
      </c>
      <c r="F25" s="185">
        <v>123.3</v>
      </c>
      <c r="G25" s="185">
        <v>106.4</v>
      </c>
      <c r="H25" s="186">
        <v>0.912</v>
      </c>
      <c r="I25" s="186">
        <v>0.481</v>
      </c>
      <c r="J25" s="186">
        <v>3.533</v>
      </c>
      <c r="K25" s="186">
        <v>2.912</v>
      </c>
      <c r="L25" s="186">
        <v>0.308</v>
      </c>
      <c r="M25" s="186">
        <v>0.348</v>
      </c>
    </row>
    <row r="26" ht="15.75" customHeight="1">
      <c r="B26" s="156" t="s">
        <v>193</v>
      </c>
      <c r="C26" s="156" t="s">
        <v>0</v>
      </c>
      <c r="D26" s="165">
        <v>3584.0</v>
      </c>
      <c r="E26" s="165">
        <v>3094.2</v>
      </c>
      <c r="F26" s="187">
        <v>1617.9</v>
      </c>
      <c r="G26" s="187">
        <v>1174.8</v>
      </c>
      <c r="H26" s="188">
        <v>0.252</v>
      </c>
      <c r="I26" s="188">
        <v>0.309</v>
      </c>
      <c r="J26" s="188">
        <v>0.55</v>
      </c>
      <c r="K26" s="188">
        <v>0.126</v>
      </c>
      <c r="L26" s="188">
        <v>0.451</v>
      </c>
      <c r="M26" s="188">
        <v>0.38</v>
      </c>
    </row>
    <row r="27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5.75" customHeight="1">
      <c r="B28" s="1"/>
      <c r="C28" s="30" t="s">
        <v>195</v>
      </c>
      <c r="D28" s="171">
        <f t="shared" ref="D28:M28" si="5">_xlfn.QUARTILE.INC(D21:D26,3)</f>
        <v>5315.875</v>
      </c>
      <c r="E28" s="171">
        <f t="shared" si="5"/>
        <v>5139.35</v>
      </c>
      <c r="F28" s="171">
        <f t="shared" si="5"/>
        <v>1583.175</v>
      </c>
      <c r="G28" s="171">
        <f t="shared" si="5"/>
        <v>1488.45</v>
      </c>
      <c r="H28" s="189">
        <f t="shared" si="5"/>
        <v>0.252</v>
      </c>
      <c r="I28" s="189">
        <f t="shared" si="5"/>
        <v>0.47725</v>
      </c>
      <c r="J28" s="189">
        <f t="shared" si="5"/>
        <v>1.07875</v>
      </c>
      <c r="K28" s="189">
        <f t="shared" si="5"/>
        <v>1.03975</v>
      </c>
      <c r="L28" s="189">
        <f t="shared" si="5"/>
        <v>0.36125</v>
      </c>
      <c r="M28" s="190">
        <f t="shared" si="5"/>
        <v>0.35925</v>
      </c>
    </row>
    <row r="29" ht="15.75" customHeight="1">
      <c r="B29" s="167"/>
      <c r="C29" s="34" t="s">
        <v>196</v>
      </c>
      <c r="D29" s="174">
        <f t="shared" ref="D29:M29" si="6">AVERAGE(D21:D26)</f>
        <v>5578.2</v>
      </c>
      <c r="E29" s="174">
        <f t="shared" si="6"/>
        <v>5548.066667</v>
      </c>
      <c r="F29" s="174">
        <f t="shared" si="6"/>
        <v>1864.283333</v>
      </c>
      <c r="G29" s="174">
        <f t="shared" si="6"/>
        <v>1795.883333</v>
      </c>
      <c r="H29" s="127">
        <f t="shared" si="6"/>
        <v>0.2745</v>
      </c>
      <c r="I29" s="127">
        <f t="shared" si="6"/>
        <v>0.3248333333</v>
      </c>
      <c r="J29" s="127">
        <f t="shared" si="6"/>
        <v>0.9641666667</v>
      </c>
      <c r="K29" s="127">
        <f t="shared" si="6"/>
        <v>0.8098333333</v>
      </c>
      <c r="L29" s="127">
        <f t="shared" si="6"/>
        <v>0.3253333333</v>
      </c>
      <c r="M29" s="191">
        <f t="shared" si="6"/>
        <v>0.3173333333</v>
      </c>
    </row>
    <row r="30" ht="15.75" customHeight="1">
      <c r="B30" s="1"/>
      <c r="C30" s="34" t="s">
        <v>197</v>
      </c>
      <c r="D30" s="174">
        <f t="shared" ref="D30:M30" si="7">MEDIAN(D21:D26)</f>
        <v>3642.75</v>
      </c>
      <c r="E30" s="174">
        <f t="shared" si="7"/>
        <v>3160.3</v>
      </c>
      <c r="F30" s="174">
        <f t="shared" si="7"/>
        <v>1318.05</v>
      </c>
      <c r="G30" s="174">
        <f t="shared" si="7"/>
        <v>1131.7</v>
      </c>
      <c r="H30" s="127">
        <f t="shared" si="7"/>
        <v>0.224</v>
      </c>
      <c r="I30" s="127">
        <f t="shared" si="7"/>
        <v>0.3875</v>
      </c>
      <c r="J30" s="127">
        <f t="shared" si="7"/>
        <v>0.416</v>
      </c>
      <c r="K30" s="127">
        <f t="shared" si="7"/>
        <v>0.179</v>
      </c>
      <c r="L30" s="127">
        <f t="shared" si="7"/>
        <v>0.3335</v>
      </c>
      <c r="M30" s="191">
        <f t="shared" si="7"/>
        <v>0.3445</v>
      </c>
    </row>
    <row r="31" ht="15.75" customHeight="1">
      <c r="B31" s="1"/>
      <c r="C31" s="177" t="s">
        <v>198</v>
      </c>
      <c r="D31" s="178">
        <f t="shared" ref="D31:M31" si="8">_xlfn.QUARTILE.INC(D21:D26,1)</f>
        <v>3296.45</v>
      </c>
      <c r="E31" s="178">
        <f t="shared" si="8"/>
        <v>3022.875</v>
      </c>
      <c r="F31" s="178">
        <f t="shared" si="8"/>
        <v>896.7</v>
      </c>
      <c r="G31" s="178">
        <f t="shared" si="8"/>
        <v>745.925</v>
      </c>
      <c r="H31" s="192">
        <f t="shared" si="8"/>
        <v>0.09475</v>
      </c>
      <c r="I31" s="192">
        <f t="shared" si="8"/>
        <v>0.16425</v>
      </c>
      <c r="J31" s="192">
        <f t="shared" si="8"/>
        <v>0.147</v>
      </c>
      <c r="K31" s="192">
        <f t="shared" si="8"/>
        <v>0.147</v>
      </c>
      <c r="L31" s="192">
        <f t="shared" si="8"/>
        <v>0.26675</v>
      </c>
      <c r="M31" s="193">
        <f t="shared" si="8"/>
        <v>0.29225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F2:G2"/>
    <mergeCell ref="H2:I2"/>
    <mergeCell ref="J2:K2"/>
    <mergeCell ref="D19:E19"/>
    <mergeCell ref="F19:G19"/>
    <mergeCell ref="H19:I19"/>
    <mergeCell ref="J19:K19"/>
    <mergeCell ref="L19:M19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A005A"/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0.86"/>
    <col customWidth="1" min="3" max="3" width="9.14"/>
    <col customWidth="1" min="4" max="4" width="10.43"/>
    <col customWidth="1" min="5" max="5" width="24.57"/>
    <col customWidth="1" min="6" max="6" width="18.14"/>
    <col customWidth="1" min="7" max="7" width="9.71"/>
    <col customWidth="1" min="8" max="8" width="10.14"/>
    <col customWidth="1" min="9" max="9" width="12.86"/>
    <col customWidth="1" min="10" max="26" width="9.14"/>
  </cols>
  <sheetData>
    <row r="1">
      <c r="A1" s="194" t="s">
        <v>203</v>
      </c>
    </row>
    <row r="2">
      <c r="B2" s="19" t="s">
        <v>204</v>
      </c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>
      <c r="B3" s="2" t="s">
        <v>59</v>
      </c>
      <c r="C3" s="2"/>
      <c r="D3" s="2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</row>
    <row r="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>
      <c r="B6" s="1"/>
      <c r="C6" s="1"/>
      <c r="D6" s="1"/>
      <c r="E6" s="1" t="s">
        <v>205</v>
      </c>
      <c r="F6" s="195">
        <v>44964.0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>
      <c r="B7" s="2" t="s">
        <v>206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05"/>
      <c r="N7" s="105"/>
      <c r="O7" s="1"/>
      <c r="P7" s="1"/>
      <c r="Q7" s="1"/>
    </row>
    <row r="8">
      <c r="B8" s="197"/>
      <c r="C8" s="8"/>
      <c r="D8" s="198"/>
      <c r="E8" s="198"/>
      <c r="F8" s="14" t="s">
        <v>207</v>
      </c>
      <c r="G8" s="8"/>
      <c r="H8" s="8"/>
      <c r="I8" s="8"/>
      <c r="J8" s="20" t="s">
        <v>208</v>
      </c>
      <c r="K8" s="21"/>
      <c r="L8" s="198"/>
      <c r="M8" s="14" t="s">
        <v>209</v>
      </c>
      <c r="N8" s="14" t="s">
        <v>210</v>
      </c>
      <c r="O8" s="1"/>
      <c r="P8" s="1"/>
      <c r="Q8" s="1"/>
    </row>
    <row r="9">
      <c r="B9" s="8" t="s">
        <v>211</v>
      </c>
      <c r="C9" s="23"/>
      <c r="D9" s="23"/>
      <c r="E9" s="22" t="s">
        <v>177</v>
      </c>
      <c r="F9" s="20" t="s">
        <v>212</v>
      </c>
      <c r="G9" s="20" t="s">
        <v>213</v>
      </c>
      <c r="H9" s="20" t="s">
        <v>214</v>
      </c>
      <c r="I9" s="20" t="s">
        <v>215</v>
      </c>
      <c r="J9" s="20" t="s">
        <v>216</v>
      </c>
      <c r="K9" s="20" t="s">
        <v>217</v>
      </c>
      <c r="L9" s="20" t="s">
        <v>96</v>
      </c>
      <c r="M9" s="20" t="s">
        <v>212</v>
      </c>
      <c r="N9" s="20" t="s">
        <v>29</v>
      </c>
      <c r="O9" s="1"/>
      <c r="P9" s="1"/>
      <c r="Q9" s="1"/>
    </row>
    <row r="10">
      <c r="B10" s="11" t="s">
        <v>184</v>
      </c>
      <c r="C10" s="1"/>
      <c r="D10" s="1"/>
      <c r="E10" s="1" t="s">
        <v>218</v>
      </c>
      <c r="F10" s="199">
        <v>0.734</v>
      </c>
      <c r="G10" s="200">
        <v>234.89</v>
      </c>
      <c r="H10" s="200">
        <v>25855.4</v>
      </c>
      <c r="I10" s="201">
        <f t="shared" ref="I10:I14" si="1">G10+H10</f>
        <v>26090.29</v>
      </c>
      <c r="J10" s="202">
        <f t="shared" ref="J10:J14" si="2">G10/H10</f>
        <v>0.009084755989</v>
      </c>
      <c r="K10" s="202">
        <f t="shared" ref="K10:K14" si="3">G10/I10</f>
        <v>0.009002966238</v>
      </c>
      <c r="L10" s="203">
        <v>0.1066</v>
      </c>
      <c r="M10" s="204">
        <f t="shared" ref="M10:M14" si="4">F10/(1+(G10/H10)*(1-L10))</f>
        <v>0.7280905831</v>
      </c>
      <c r="N10" s="205">
        <f>Comps!I4</f>
        <v>23.04</v>
      </c>
      <c r="O10" s="1"/>
      <c r="P10" s="1"/>
      <c r="Q10" s="1"/>
    </row>
    <row r="11">
      <c r="B11" s="11" t="s">
        <v>186</v>
      </c>
      <c r="C11" s="1"/>
      <c r="D11" s="1"/>
      <c r="E11" s="1" t="s">
        <v>219</v>
      </c>
      <c r="F11" s="199">
        <v>0.628</v>
      </c>
      <c r="G11" s="200">
        <v>-65.5</v>
      </c>
      <c r="H11" s="200">
        <v>8523.9</v>
      </c>
      <c r="I11" s="201">
        <f t="shared" si="1"/>
        <v>8458.4</v>
      </c>
      <c r="J11" s="202">
        <f t="shared" si="2"/>
        <v>-0.007684275977</v>
      </c>
      <c r="K11" s="202">
        <f t="shared" si="3"/>
        <v>-0.00774378133</v>
      </c>
      <c r="L11" s="203">
        <v>0.2264</v>
      </c>
      <c r="M11" s="204">
        <f t="shared" si="4"/>
        <v>0.6317555059</v>
      </c>
      <c r="N11" s="205">
        <f>Comps!I5</f>
        <v>7.06</v>
      </c>
      <c r="O11" s="1"/>
      <c r="P11" s="1"/>
      <c r="Q11" s="1"/>
    </row>
    <row r="12">
      <c r="B12" s="11" t="s">
        <v>188</v>
      </c>
      <c r="C12" s="1"/>
      <c r="D12" s="1"/>
      <c r="E12" s="1" t="s">
        <v>220</v>
      </c>
      <c r="F12" s="199">
        <v>0.782</v>
      </c>
      <c r="G12" s="200">
        <v>2301.0</v>
      </c>
      <c r="H12" s="200">
        <v>14941.9</v>
      </c>
      <c r="I12" s="201">
        <f t="shared" si="1"/>
        <v>17242.9</v>
      </c>
      <c r="J12" s="202">
        <f t="shared" si="2"/>
        <v>0.1539964797</v>
      </c>
      <c r="K12" s="202">
        <f t="shared" si="3"/>
        <v>0.13344623</v>
      </c>
      <c r="L12" s="203">
        <v>0.1569</v>
      </c>
      <c r="M12" s="204">
        <f t="shared" si="4"/>
        <v>0.6921368103</v>
      </c>
      <c r="N12" s="205">
        <f>Comps!I6</f>
        <v>14.12</v>
      </c>
      <c r="O12" s="1"/>
      <c r="P12" s="1"/>
      <c r="Q12" s="1"/>
    </row>
    <row r="13">
      <c r="B13" s="11" t="s">
        <v>190</v>
      </c>
      <c r="C13" s="1"/>
      <c r="D13" s="1"/>
      <c r="E13" s="1" t="s">
        <v>221</v>
      </c>
      <c r="F13" s="199">
        <v>0.966</v>
      </c>
      <c r="G13" s="200">
        <v>17530.51</v>
      </c>
      <c r="H13" s="200">
        <v>14067.1</v>
      </c>
      <c r="I13" s="201">
        <f t="shared" si="1"/>
        <v>31597.61</v>
      </c>
      <c r="J13" s="202">
        <f t="shared" si="2"/>
        <v>1.246206396</v>
      </c>
      <c r="K13" s="202">
        <f t="shared" si="3"/>
        <v>0.5548049362</v>
      </c>
      <c r="L13" s="203">
        <v>0.1604</v>
      </c>
      <c r="M13" s="204">
        <f t="shared" si="4"/>
        <v>0.4720681086</v>
      </c>
      <c r="N13" s="205">
        <f>Comps!I7</f>
        <v>6.01</v>
      </c>
      <c r="O13" s="1"/>
      <c r="P13" s="1"/>
      <c r="Q13" s="1"/>
    </row>
    <row r="14">
      <c r="B14" s="11" t="s">
        <v>192</v>
      </c>
      <c r="C14" s="1"/>
      <c r="D14" s="1"/>
      <c r="E14" s="1" t="s">
        <v>222</v>
      </c>
      <c r="F14" s="199">
        <v>0.702</v>
      </c>
      <c r="G14" s="200">
        <v>-78.27</v>
      </c>
      <c r="H14" s="200">
        <v>2936.2</v>
      </c>
      <c r="I14" s="201">
        <f t="shared" si="1"/>
        <v>2857.93</v>
      </c>
      <c r="J14" s="202">
        <f t="shared" si="2"/>
        <v>-0.02665690348</v>
      </c>
      <c r="K14" s="202">
        <f t="shared" si="3"/>
        <v>-0.02738695489</v>
      </c>
      <c r="L14" s="203">
        <v>0.1066</v>
      </c>
      <c r="M14" s="204">
        <f t="shared" si="4"/>
        <v>0.7191261898</v>
      </c>
      <c r="N14" s="205">
        <f>Comps!I8</f>
        <v>13.45</v>
      </c>
      <c r="O14" s="1"/>
      <c r="P14" s="1"/>
      <c r="Q14" s="1"/>
    </row>
    <row r="15">
      <c r="B15" s="1"/>
      <c r="C15" s="1"/>
      <c r="D15" s="1"/>
      <c r="E15" s="1"/>
      <c r="F15" s="199"/>
      <c r="G15" s="200"/>
      <c r="H15" s="200"/>
      <c r="I15" s="201"/>
      <c r="J15" s="202"/>
      <c r="K15" s="202"/>
      <c r="L15" s="203"/>
      <c r="M15" s="204"/>
      <c r="N15" s="206"/>
      <c r="O15" s="1"/>
      <c r="P15" s="1"/>
      <c r="Q15" s="1"/>
    </row>
    <row r="16">
      <c r="B16" s="1" t="s">
        <v>0</v>
      </c>
      <c r="C16" s="1"/>
      <c r="D16" s="1"/>
      <c r="E16" s="1" t="s">
        <v>223</v>
      </c>
      <c r="F16" s="199">
        <v>0.639</v>
      </c>
      <c r="G16" s="200">
        <v>4407.0</v>
      </c>
      <c r="H16" s="200">
        <v>9900.8</v>
      </c>
      <c r="I16" s="201">
        <f>G16+H16</f>
        <v>14307.8</v>
      </c>
      <c r="J16" s="202">
        <f>G16/H16</f>
        <v>0.4451155462</v>
      </c>
      <c r="K16" s="202">
        <f>G16/I16</f>
        <v>0.3080138106</v>
      </c>
      <c r="L16" s="203">
        <v>0.1222</v>
      </c>
      <c r="M16" s="204">
        <f>F16/(1+(G16/H16)*(1-L16))</f>
        <v>0.4594734275</v>
      </c>
      <c r="N16" s="207">
        <f>Comps!I9</f>
        <v>8.22</v>
      </c>
      <c r="O16" s="1"/>
      <c r="P16" s="1"/>
      <c r="Q16" s="1"/>
    </row>
    <row r="17">
      <c r="B17" s="208" t="s">
        <v>196</v>
      </c>
      <c r="C17" s="209"/>
      <c r="D17" s="210"/>
      <c r="E17" s="209"/>
      <c r="F17" s="211">
        <f t="shared" ref="F17:N17" si="5">AVERAGEIF(F10:F16,"&lt;&gt;0",F10:F16)</f>
        <v>0.7418333333</v>
      </c>
      <c r="G17" s="211">
        <f t="shared" si="5"/>
        <v>4054.938333</v>
      </c>
      <c r="H17" s="211">
        <f t="shared" si="5"/>
        <v>12704.21667</v>
      </c>
      <c r="I17" s="211">
        <f t="shared" si="5"/>
        <v>16759.155</v>
      </c>
      <c r="J17" s="212">
        <f t="shared" si="5"/>
        <v>0.3033436665</v>
      </c>
      <c r="K17" s="212">
        <f t="shared" si="5"/>
        <v>0.1616895345</v>
      </c>
      <c r="L17" s="212">
        <f t="shared" si="5"/>
        <v>0.1465166667</v>
      </c>
      <c r="M17" s="211">
        <f t="shared" si="5"/>
        <v>0.6171084376</v>
      </c>
      <c r="N17" s="213">
        <f t="shared" si="5"/>
        <v>11.98333333</v>
      </c>
      <c r="O17" s="1"/>
      <c r="P17" s="1"/>
      <c r="Q17" s="1"/>
    </row>
    <row r="18">
      <c r="B18" s="214" t="s">
        <v>197</v>
      </c>
      <c r="C18" s="215"/>
      <c r="D18" s="216"/>
      <c r="E18" s="215"/>
      <c r="F18" s="217">
        <f t="shared" ref="F18:N18" si="6">MEDIAN(F10:F14,F16)</f>
        <v>0.718</v>
      </c>
      <c r="G18" s="217">
        <f t="shared" si="6"/>
        <v>1267.945</v>
      </c>
      <c r="H18" s="217">
        <f t="shared" si="6"/>
        <v>11983.95</v>
      </c>
      <c r="I18" s="217">
        <f t="shared" si="6"/>
        <v>15775.35</v>
      </c>
      <c r="J18" s="218">
        <f t="shared" si="6"/>
        <v>0.08154061784</v>
      </c>
      <c r="K18" s="218">
        <f t="shared" si="6"/>
        <v>0.07122459814</v>
      </c>
      <c r="L18" s="218">
        <f t="shared" si="6"/>
        <v>0.13955</v>
      </c>
      <c r="M18" s="217">
        <f t="shared" si="6"/>
        <v>0.6619461581</v>
      </c>
      <c r="N18" s="219">
        <f t="shared" si="6"/>
        <v>10.835</v>
      </c>
      <c r="O18" s="1"/>
      <c r="P18" s="1"/>
      <c r="Q18" s="1"/>
    </row>
    <row r="19">
      <c r="B19" s="8"/>
      <c r="C19" s="8"/>
      <c r="D19" s="8"/>
      <c r="E19" s="8"/>
      <c r="F19" s="220"/>
      <c r="G19" s="221"/>
      <c r="H19" s="221"/>
      <c r="I19" s="221"/>
      <c r="J19" s="222"/>
      <c r="K19" s="222"/>
      <c r="L19" s="222"/>
      <c r="M19" s="220"/>
      <c r="N19" s="1"/>
      <c r="O19" s="1"/>
      <c r="P19" s="1"/>
      <c r="Q19" s="1"/>
    </row>
    <row r="20">
      <c r="B20" s="8"/>
      <c r="C20" s="8"/>
      <c r="D20" s="8"/>
      <c r="E20" s="8"/>
      <c r="F20" s="220"/>
      <c r="G20" s="221"/>
      <c r="H20" s="221"/>
      <c r="I20" s="221"/>
      <c r="J20" s="222"/>
      <c r="K20" s="222"/>
      <c r="L20" s="222"/>
      <c r="M20" s="220"/>
      <c r="N20" s="1"/>
      <c r="O20" s="1"/>
      <c r="P20" s="1"/>
      <c r="Q20" s="1"/>
    </row>
    <row r="21" ht="15.75" customHeight="1">
      <c r="B21" s="223" t="s">
        <v>224</v>
      </c>
      <c r="C21" s="224"/>
      <c r="D21" s="224"/>
      <c r="E21" s="8"/>
      <c r="F21" s="2" t="s">
        <v>225</v>
      </c>
      <c r="G21" s="196"/>
      <c r="H21" s="196"/>
      <c r="I21" s="225"/>
      <c r="J21" s="225"/>
      <c r="K21" s="8"/>
      <c r="L21" s="223" t="s">
        <v>226</v>
      </c>
      <c r="M21" s="223"/>
      <c r="N21" s="223"/>
      <c r="O21" s="223"/>
      <c r="P21" s="223"/>
      <c r="Q21" s="1"/>
    </row>
    <row r="22" ht="15.75" customHeight="1">
      <c r="B22" s="1" t="s">
        <v>227</v>
      </c>
      <c r="C22" s="226"/>
      <c r="D22" s="227">
        <v>302.7</v>
      </c>
      <c r="E22" s="8"/>
      <c r="F22" s="1" t="s">
        <v>228</v>
      </c>
      <c r="G22" s="1"/>
      <c r="H22" s="49">
        <f>M17</f>
        <v>0.6171084376</v>
      </c>
      <c r="I22" s="226"/>
      <c r="J22" s="226"/>
      <c r="K22" s="8"/>
      <c r="L22" s="1" t="s">
        <v>229</v>
      </c>
      <c r="M22" s="1"/>
      <c r="N22" s="1"/>
      <c r="O22" s="1"/>
      <c r="P22" s="127">
        <f>K16</f>
        <v>0.3080138106</v>
      </c>
      <c r="Q22" s="1"/>
    </row>
    <row r="23" ht="15.75" customHeight="1">
      <c r="B23" s="1" t="s">
        <v>230</v>
      </c>
      <c r="C23" s="145"/>
      <c r="D23" s="155">
        <v>5726.8</v>
      </c>
      <c r="E23" s="8"/>
      <c r="F23" s="1" t="s">
        <v>231</v>
      </c>
      <c r="G23" s="1"/>
      <c r="H23" s="228">
        <f>J16</f>
        <v>0.4451155462</v>
      </c>
      <c r="I23" s="229"/>
      <c r="J23" s="230"/>
      <c r="K23" s="230"/>
      <c r="L23" s="1" t="s">
        <v>232</v>
      </c>
      <c r="M23" s="1"/>
      <c r="N23" s="1"/>
      <c r="O23" s="1"/>
      <c r="P23" s="127">
        <f>1-P22</f>
        <v>0.6919861894</v>
      </c>
      <c r="Q23" s="1"/>
    </row>
    <row r="24" ht="15.75" customHeight="1">
      <c r="B24" s="1" t="s">
        <v>96</v>
      </c>
      <c r="C24" s="1"/>
      <c r="D24" s="231">
        <f>0.21</f>
        <v>0.21</v>
      </c>
      <c r="E24" s="8"/>
      <c r="F24" s="1" t="s">
        <v>233</v>
      </c>
      <c r="G24" s="1"/>
      <c r="H24" s="231">
        <v>0.21</v>
      </c>
      <c r="I24" s="229"/>
      <c r="J24" s="232"/>
      <c r="K24" s="232"/>
      <c r="L24" s="1"/>
      <c r="M24" s="1"/>
      <c r="N24" s="1"/>
      <c r="O24" s="1"/>
      <c r="P24" s="127"/>
      <c r="Q24" s="1"/>
    </row>
    <row r="25" ht="15.75" customHeight="1">
      <c r="B25" s="233" t="s">
        <v>234</v>
      </c>
      <c r="C25" s="234"/>
      <c r="D25" s="235">
        <f>(D22/D23)*(1-D24)</f>
        <v>0.04175682755</v>
      </c>
      <c r="E25" s="8"/>
      <c r="F25" s="233" t="s">
        <v>235</v>
      </c>
      <c r="G25" s="234"/>
      <c r="H25" s="236">
        <f>H22*(1+(H23*(1-H24)))</f>
        <v>0.8341092394</v>
      </c>
      <c r="I25" s="229"/>
      <c r="J25" s="237"/>
      <c r="K25" s="232"/>
      <c r="L25" s="238" t="s">
        <v>236</v>
      </c>
      <c r="M25" s="239"/>
      <c r="N25" s="239"/>
      <c r="O25" s="240"/>
      <c r="P25" s="241">
        <f>D25</f>
        <v>0.04175682755</v>
      </c>
      <c r="Q25" s="1"/>
    </row>
    <row r="26" ht="15.75" customHeight="1">
      <c r="B26" s="1"/>
      <c r="C26" s="1"/>
      <c r="D26" s="1"/>
      <c r="E26" s="1"/>
      <c r="F26" s="1"/>
      <c r="G26" s="145"/>
      <c r="H26" s="242"/>
      <c r="I26" s="229"/>
      <c r="J26" s="237"/>
      <c r="K26" s="1"/>
      <c r="L26" s="238" t="s">
        <v>237</v>
      </c>
      <c r="M26" s="243"/>
      <c r="N26" s="243"/>
      <c r="O26" s="244"/>
      <c r="P26" s="241">
        <f>H33</f>
        <v>0.0847101174</v>
      </c>
      <c r="Q26" s="1"/>
    </row>
    <row r="27" ht="15.75" customHeight="1">
      <c r="B27" s="1"/>
      <c r="C27" s="1"/>
      <c r="D27" s="1"/>
      <c r="E27" s="1"/>
      <c r="F27" s="1"/>
      <c r="G27" s="145"/>
      <c r="H27" s="242"/>
      <c r="I27" s="229"/>
      <c r="J27" s="237"/>
      <c r="K27" s="1"/>
      <c r="L27" s="1"/>
      <c r="M27" s="1"/>
      <c r="N27" s="1"/>
      <c r="O27" s="1"/>
      <c r="P27" s="1"/>
      <c r="Q27" s="1"/>
    </row>
    <row r="28" ht="15.75" customHeight="1">
      <c r="B28" s="1"/>
      <c r="C28" s="1"/>
      <c r="D28" s="1"/>
      <c r="E28" s="1"/>
      <c r="F28" s="1"/>
      <c r="G28" s="145"/>
      <c r="H28" s="242"/>
      <c r="I28" s="229"/>
      <c r="J28" s="237"/>
      <c r="K28" s="1"/>
      <c r="L28" s="52" t="s">
        <v>59</v>
      </c>
      <c r="M28" s="52"/>
      <c r="N28" s="53"/>
      <c r="O28" s="54"/>
      <c r="P28" s="55">
        <f>P22*P25+P23*P26</f>
        <v>0.07147991092</v>
      </c>
      <c r="Q28" s="1"/>
    </row>
    <row r="29" ht="15.75" customHeight="1">
      <c r="E29" s="1"/>
      <c r="F29" s="223" t="s">
        <v>238</v>
      </c>
      <c r="G29" s="3"/>
      <c r="H29" s="245"/>
      <c r="I29" s="229"/>
      <c r="J29" s="237"/>
      <c r="K29" s="1"/>
      <c r="L29" s="1"/>
      <c r="M29" s="1"/>
      <c r="N29" s="1"/>
      <c r="O29" s="1"/>
      <c r="P29" s="1"/>
      <c r="Q29" s="1"/>
    </row>
    <row r="30" ht="15.75" customHeight="1">
      <c r="E30" s="1"/>
      <c r="F30" s="1" t="s">
        <v>239</v>
      </c>
      <c r="G30" s="246"/>
      <c r="H30" s="150">
        <v>0.038</v>
      </c>
      <c r="I30" s="229"/>
      <c r="J30" s="237"/>
      <c r="K30" s="1"/>
      <c r="L30" s="1"/>
      <c r="M30" s="1"/>
      <c r="N30" s="1"/>
      <c r="O30" s="1"/>
      <c r="P30" s="1"/>
      <c r="Q30" s="1"/>
    </row>
    <row r="31" ht="15.75" customHeight="1">
      <c r="E31" s="1"/>
      <c r="F31" s="1" t="s">
        <v>240</v>
      </c>
      <c r="G31" s="246"/>
      <c r="H31" s="150">
        <v>0.056</v>
      </c>
      <c r="I31" s="229"/>
      <c r="J31" s="237"/>
      <c r="K31" s="1"/>
      <c r="L31" s="1"/>
      <c r="M31" s="1"/>
      <c r="N31" s="1"/>
      <c r="O31" s="1"/>
      <c r="P31" s="1"/>
      <c r="Q31" s="1"/>
    </row>
    <row r="32" ht="15.75" customHeight="1">
      <c r="E32" s="1"/>
      <c r="F32" s="1" t="s">
        <v>241</v>
      </c>
      <c r="G32" s="49"/>
      <c r="H32" s="49">
        <f>H25</f>
        <v>0.8341092394</v>
      </c>
      <c r="I32" s="229"/>
      <c r="J32" s="237"/>
      <c r="K32" s="1"/>
      <c r="L32" s="1"/>
      <c r="M32" s="1"/>
      <c r="N32" s="1"/>
      <c r="O32" s="1"/>
      <c r="P32" s="1"/>
      <c r="Q32" s="1"/>
    </row>
    <row r="33" ht="15.75" customHeight="1">
      <c r="E33" s="1"/>
      <c r="F33" s="233" t="s">
        <v>237</v>
      </c>
      <c r="G33" s="234"/>
      <c r="H33" s="235">
        <f>H30+H32*H31</f>
        <v>0.0847101174</v>
      </c>
      <c r="I33" s="229"/>
      <c r="J33" s="237"/>
      <c r="K33" s="1"/>
      <c r="L33" s="1"/>
      <c r="M33" s="1"/>
      <c r="N33" s="1"/>
      <c r="O33" s="1"/>
      <c r="P33" s="1"/>
      <c r="Q33" s="1"/>
    </row>
    <row r="34" ht="15.75" customHeight="1">
      <c r="B34" s="247"/>
      <c r="C34" s="247"/>
      <c r="D34" s="247"/>
      <c r="E34" s="247"/>
      <c r="F34" s="247"/>
      <c r="G34" s="248"/>
      <c r="H34" s="249"/>
      <c r="I34" s="250"/>
      <c r="J34" s="251"/>
      <c r="K34" s="247"/>
      <c r="O34" s="247"/>
      <c r="P34" s="247"/>
      <c r="Q34" s="24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J8:K8"/>
    <mergeCell ref="L26:O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2022-09-07T03:57:34Z</dcterms:created>
  <dc:creator>ollie bernasek</dc:creator>
</cp:coreProperties>
</file>