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prame/Downloads/"/>
    </mc:Choice>
  </mc:AlternateContent>
  <xr:revisionPtr revIDLastSave="0" documentId="8_{49B83F0D-AADB-8D4C-90EB-6335F088F347}" xr6:coauthVersionLast="47" xr6:coauthVersionMax="47" xr10:uidLastSave="{00000000-0000-0000-0000-000000000000}"/>
  <bookViews>
    <workbookView xWindow="0" yWindow="0" windowWidth="28800" windowHeight="18000" xr2:uid="{76EFF70E-7CA7-1C4C-9749-FC874F0C8150}"/>
  </bookViews>
  <sheets>
    <sheet name="Master" sheetId="6" r:id="rId1"/>
    <sheet name="Metrics &amp; Drivers" sheetId="4" r:id="rId2"/>
    <sheet name="IS" sheetId="10" r:id="rId3"/>
    <sheet name="BS" sheetId="11" state="hidden" r:id="rId4"/>
    <sheet name="DCF" sheetId="7" r:id="rId5"/>
    <sheet name="WACC" sheetId="8" r:id="rId6"/>
    <sheet name="NWC" sheetId="9" r:id="rId7"/>
    <sheet name="Revenue" sheetId="12" r:id="rId8"/>
    <sheet name="Cash" sheetId="3" state="hidden" r:id="rId9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44973.7817824074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STER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0" l="1"/>
  <c r="J27" i="10"/>
  <c r="K27" i="10"/>
  <c r="L27" i="10"/>
  <c r="M27" i="10"/>
  <c r="C28" i="10"/>
  <c r="D28" i="10"/>
  <c r="E28" i="10"/>
  <c r="F28" i="10"/>
  <c r="G28" i="10"/>
  <c r="H28" i="10"/>
  <c r="H29" i="10"/>
  <c r="C31" i="10"/>
  <c r="D31" i="10"/>
  <c r="E31" i="10"/>
  <c r="F31" i="10"/>
  <c r="G31" i="10"/>
  <c r="H31" i="10"/>
  <c r="C32" i="10"/>
  <c r="D32" i="10"/>
  <c r="H32" i="10"/>
  <c r="I26" i="4"/>
  <c r="J21" i="4"/>
  <c r="I22" i="4"/>
  <c r="J38" i="4"/>
  <c r="K38" i="4"/>
  <c r="L38" i="4"/>
  <c r="M38" i="4"/>
  <c r="I38" i="4"/>
  <c r="J23" i="4"/>
  <c r="J58" i="4"/>
  <c r="K58" i="4"/>
  <c r="L58" i="4"/>
  <c r="M58" i="4"/>
  <c r="I58" i="4"/>
  <c r="G10" i="12"/>
  <c r="C4" i="12"/>
  <c r="K23" i="4"/>
  <c r="L23" i="4" s="1"/>
  <c r="M23" i="4" s="1"/>
  <c r="I13" i="4"/>
  <c r="J13" i="4"/>
  <c r="K13" i="4"/>
  <c r="L13" i="4"/>
  <c r="M13" i="4"/>
  <c r="J68" i="4"/>
  <c r="K68" i="4"/>
  <c r="L68" i="4"/>
  <c r="M68" i="4"/>
  <c r="I68" i="4"/>
  <c r="I27" i="4"/>
  <c r="L12" i="4"/>
  <c r="M12" i="4"/>
  <c r="K12" i="4"/>
  <c r="J12" i="4"/>
  <c r="I12" i="4"/>
  <c r="J28" i="4"/>
  <c r="K28" i="4" s="1"/>
  <c r="L28" i="4" s="1"/>
  <c r="M28" i="4" s="1"/>
  <c r="G24" i="7"/>
  <c r="F24" i="7"/>
  <c r="E24" i="7"/>
  <c r="J72" i="4"/>
  <c r="K72" i="4"/>
  <c r="L72" i="4"/>
  <c r="M72" i="4"/>
  <c r="I72" i="4"/>
  <c r="M71" i="4"/>
  <c r="L71" i="4"/>
  <c r="K71" i="4"/>
  <c r="C19" i="12"/>
  <c r="C10" i="12"/>
  <c r="C16" i="12"/>
  <c r="C13" i="12"/>
  <c r="C7" i="12"/>
  <c r="G7" i="12"/>
  <c r="G13" i="12"/>
  <c r="G16" i="12"/>
  <c r="G19" i="12"/>
  <c r="I19" i="12"/>
  <c r="J19" i="12" s="1"/>
  <c r="K19" i="12" s="1"/>
  <c r="L19" i="12" s="1"/>
  <c r="M19" i="12" s="1"/>
  <c r="C6" i="8"/>
  <c r="K25" i="8"/>
  <c r="I22" i="8"/>
  <c r="L22" i="8" s="1"/>
  <c r="J22" i="8"/>
  <c r="I25" i="7"/>
  <c r="J25" i="7" l="1"/>
  <c r="K25" i="7" s="1"/>
  <c r="L25" i="7" s="1"/>
  <c r="M25" i="7" s="1"/>
  <c r="L17" i="12"/>
  <c r="I16" i="12"/>
  <c r="J16" i="12" s="1"/>
  <c r="M17" i="12"/>
  <c r="I10" i="12"/>
  <c r="J10" i="12" s="1"/>
  <c r="K10" i="12" s="1"/>
  <c r="L10" i="12" s="1"/>
  <c r="M10" i="12" s="1"/>
  <c r="I7" i="12"/>
  <c r="J7" i="12" s="1"/>
  <c r="K7" i="12" s="1"/>
  <c r="M11" i="12"/>
  <c r="M14" i="12"/>
  <c r="D24" i="12"/>
  <c r="E24" i="12"/>
  <c r="F24" i="12"/>
  <c r="G24" i="12"/>
  <c r="G25" i="12" s="1"/>
  <c r="H24" i="12"/>
  <c r="C24" i="12"/>
  <c r="C26" i="12" s="1"/>
  <c r="D3" i="12"/>
  <c r="E3" i="12" s="1"/>
  <c r="F3" i="12" s="1"/>
  <c r="G3" i="12" s="1"/>
  <c r="H3" i="12" s="1"/>
  <c r="I3" i="12" s="1"/>
  <c r="J3" i="12" s="1"/>
  <c r="K3" i="12" s="1"/>
  <c r="L3" i="12" s="1"/>
  <c r="M3" i="12" s="1"/>
  <c r="K36" i="4"/>
  <c r="L36" i="4" s="1"/>
  <c r="M36" i="4" s="1"/>
  <c r="J36" i="4"/>
  <c r="I36" i="4"/>
  <c r="K32" i="4"/>
  <c r="L32" i="4" s="1"/>
  <c r="M32" i="4" s="1"/>
  <c r="J32" i="4"/>
  <c r="M11" i="4"/>
  <c r="L11" i="4"/>
  <c r="J11" i="4"/>
  <c r="K11" i="4" s="1"/>
  <c r="K63" i="4"/>
  <c r="L63" i="4" s="1"/>
  <c r="M63" i="4" s="1"/>
  <c r="J63" i="4"/>
  <c r="L62" i="4"/>
  <c r="M62" i="4"/>
  <c r="K62" i="4"/>
  <c r="I26" i="9"/>
  <c r="J35" i="9"/>
  <c r="K35" i="9"/>
  <c r="L35" i="9"/>
  <c r="M35" i="9"/>
  <c r="I35" i="9"/>
  <c r="J32" i="9"/>
  <c r="K32" i="9"/>
  <c r="L32" i="9"/>
  <c r="M32" i="9"/>
  <c r="I32" i="9"/>
  <c r="J29" i="9"/>
  <c r="K29" i="9"/>
  <c r="L29" i="9"/>
  <c r="M29" i="9"/>
  <c r="I29" i="9"/>
  <c r="E29" i="9"/>
  <c r="F29" i="9"/>
  <c r="G29" i="9"/>
  <c r="H29" i="9"/>
  <c r="D29" i="9"/>
  <c r="C29" i="9"/>
  <c r="F26" i="12" l="1"/>
  <c r="F25" i="12"/>
  <c r="E26" i="12"/>
  <c r="E25" i="12"/>
  <c r="D26" i="12"/>
  <c r="D25" i="12"/>
  <c r="H25" i="12"/>
  <c r="L7" i="12"/>
  <c r="M7" i="12" s="1"/>
  <c r="I39" i="10"/>
  <c r="J39" i="10" s="1"/>
  <c r="K39" i="10" s="1"/>
  <c r="L39" i="10" s="1"/>
  <c r="M39" i="10" s="1"/>
  <c r="J38" i="10"/>
  <c r="K38" i="10" s="1"/>
  <c r="L38" i="10" s="1"/>
  <c r="M38" i="10" s="1"/>
  <c r="I38" i="10"/>
  <c r="H18" i="7" l="1"/>
  <c r="G5" i="3"/>
  <c r="F5" i="3"/>
  <c r="E5" i="3"/>
  <c r="D5" i="3"/>
  <c r="C5" i="3"/>
  <c r="R17" i="7"/>
  <c r="I32" i="11" l="1"/>
  <c r="J17" i="11"/>
  <c r="K17" i="11"/>
  <c r="L17" i="11"/>
  <c r="M17" i="11"/>
  <c r="I17" i="11"/>
  <c r="I16" i="11"/>
  <c r="J15" i="11"/>
  <c r="K15" i="11" s="1"/>
  <c r="L15" i="11" s="1"/>
  <c r="M15" i="11" s="1"/>
  <c r="I15" i="11"/>
  <c r="J13" i="11"/>
  <c r="K13" i="11"/>
  <c r="L13" i="11"/>
  <c r="M13" i="11"/>
  <c r="I13" i="11"/>
  <c r="J14" i="11"/>
  <c r="K14" i="11"/>
  <c r="L14" i="11"/>
  <c r="M14" i="11"/>
  <c r="I14" i="11"/>
  <c r="I6" i="11"/>
  <c r="H19" i="7"/>
  <c r="H15" i="7"/>
  <c r="H12" i="7"/>
  <c r="H6" i="7"/>
  <c r="H23" i="9"/>
  <c r="H16" i="9"/>
  <c r="H36" i="9" s="1"/>
  <c r="H15" i="9"/>
  <c r="H14" i="9"/>
  <c r="H13" i="9"/>
  <c r="H10" i="9"/>
  <c r="H9" i="9"/>
  <c r="H8" i="9"/>
  <c r="H7" i="9"/>
  <c r="H6" i="9"/>
  <c r="H39" i="11"/>
  <c r="H38" i="11"/>
  <c r="H70" i="4"/>
  <c r="H60" i="4"/>
  <c r="H55" i="4"/>
  <c r="H50" i="4"/>
  <c r="H45" i="4"/>
  <c r="H40" i="4"/>
  <c r="H35" i="4"/>
  <c r="H30" i="4"/>
  <c r="J31" i="4" s="1"/>
  <c r="H25" i="4"/>
  <c r="H20" i="4"/>
  <c r="H15" i="4"/>
  <c r="H10" i="4"/>
  <c r="H5" i="4"/>
  <c r="H20" i="10"/>
  <c r="H9" i="7" s="1"/>
  <c r="H10" i="10"/>
  <c r="H11" i="10" s="1"/>
  <c r="H12" i="10" s="1"/>
  <c r="H6" i="10"/>
  <c r="C2" i="11"/>
  <c r="C2" i="4"/>
  <c r="I42" i="4"/>
  <c r="J42" i="4"/>
  <c r="K42" i="4"/>
  <c r="L42" i="4"/>
  <c r="M42" i="4"/>
  <c r="I67" i="4"/>
  <c r="J67" i="4"/>
  <c r="K67" i="4"/>
  <c r="L67" i="4"/>
  <c r="M67" i="4"/>
  <c r="J62" i="4"/>
  <c r="I33" i="11"/>
  <c r="J33" i="11"/>
  <c r="K33" i="11"/>
  <c r="L33" i="11"/>
  <c r="M33" i="11"/>
  <c r="J32" i="11"/>
  <c r="K32" i="11" s="1"/>
  <c r="L32" i="11" s="1"/>
  <c r="M32" i="11" s="1"/>
  <c r="I27" i="11"/>
  <c r="J27" i="11"/>
  <c r="K27" i="11"/>
  <c r="L27" i="11"/>
  <c r="M27" i="11"/>
  <c r="J16" i="11"/>
  <c r="K16" i="11" s="1"/>
  <c r="L16" i="11" s="1"/>
  <c r="M16" i="11" s="1"/>
  <c r="C70" i="4"/>
  <c r="I56" i="4"/>
  <c r="J56" i="4"/>
  <c r="K56" i="4"/>
  <c r="L56" i="4"/>
  <c r="M56" i="4"/>
  <c r="H30" i="9" l="1"/>
  <c r="H31" i="9"/>
  <c r="H32" i="9"/>
  <c r="H34" i="9"/>
  <c r="I34" i="9" s="1"/>
  <c r="J6" i="11"/>
  <c r="K6" i="11" s="1"/>
  <c r="L6" i="11" s="1"/>
  <c r="M6" i="11" s="1"/>
  <c r="R18" i="7"/>
  <c r="I31" i="4"/>
  <c r="M31" i="4"/>
  <c r="H24" i="9"/>
  <c r="L31" i="4"/>
  <c r="H8" i="7"/>
  <c r="K31" i="4"/>
  <c r="H21" i="10"/>
  <c r="H35" i="9" l="1"/>
  <c r="H35" i="10" l="1"/>
  <c r="H36" i="10"/>
  <c r="H5" i="3"/>
  <c r="H65" i="4"/>
  <c r="H16" i="7"/>
  <c r="C11" i="8" l="1"/>
  <c r="C34" i="7"/>
  <c r="I36" i="9"/>
  <c r="J36" i="9"/>
  <c r="K36" i="9"/>
  <c r="L36" i="9"/>
  <c r="M36" i="9"/>
  <c r="D70" i="4"/>
  <c r="E70" i="4"/>
  <c r="F70" i="4"/>
  <c r="G70" i="4"/>
  <c r="D60" i="4"/>
  <c r="E60" i="4"/>
  <c r="F60" i="4"/>
  <c r="G60" i="4"/>
  <c r="C60" i="4"/>
  <c r="D55" i="4"/>
  <c r="E55" i="4"/>
  <c r="F55" i="4"/>
  <c r="G55" i="4"/>
  <c r="C55" i="4"/>
  <c r="D50" i="4"/>
  <c r="E50" i="4"/>
  <c r="F50" i="4"/>
  <c r="G50" i="4"/>
  <c r="C50" i="4"/>
  <c r="C45" i="4"/>
  <c r="D45" i="4"/>
  <c r="L37" i="4"/>
  <c r="M37" i="4"/>
  <c r="I15" i="4"/>
  <c r="J15" i="4"/>
  <c r="K15" i="4"/>
  <c r="L15" i="4"/>
  <c r="M15" i="4"/>
  <c r="C10" i="4"/>
  <c r="D10" i="4"/>
  <c r="C15" i="4"/>
  <c r="D15" i="4"/>
  <c r="C20" i="4"/>
  <c r="D20" i="4"/>
  <c r="C25" i="4"/>
  <c r="D25" i="4"/>
  <c r="C35" i="4"/>
  <c r="D35" i="4"/>
  <c r="C2" i="7"/>
  <c r="I65" i="4"/>
  <c r="I31" i="10" s="1"/>
  <c r="J65" i="4"/>
  <c r="J31" i="10" s="1"/>
  <c r="K65" i="4"/>
  <c r="K31" i="10" s="1"/>
  <c r="L65" i="4"/>
  <c r="L31" i="10" s="1"/>
  <c r="M65" i="4"/>
  <c r="M31" i="10" s="1"/>
  <c r="I60" i="4"/>
  <c r="J60" i="4"/>
  <c r="K60" i="4"/>
  <c r="L60" i="4"/>
  <c r="M60" i="4"/>
  <c r="C2" i="10"/>
  <c r="L16" i="7" l="1"/>
  <c r="J16" i="7"/>
  <c r="M16" i="7"/>
  <c r="K16" i="7"/>
  <c r="I16" i="7"/>
  <c r="K35" i="4"/>
  <c r="K37" i="4"/>
  <c r="J35" i="4"/>
  <c r="J37" i="4"/>
  <c r="M35" i="4"/>
  <c r="I35" i="4"/>
  <c r="I37" i="4"/>
  <c r="L35" i="4"/>
  <c r="M70" i="4" l="1"/>
  <c r="J70" i="4"/>
  <c r="L70" i="4"/>
  <c r="K70" i="4"/>
  <c r="I70" i="4"/>
  <c r="C9" i="11"/>
  <c r="C20" i="7"/>
  <c r="D18" i="7"/>
  <c r="E18" i="7"/>
  <c r="F18" i="7"/>
  <c r="G18" i="7"/>
  <c r="C18" i="7"/>
  <c r="D6" i="3"/>
  <c r="E6" i="3"/>
  <c r="F6" i="3"/>
  <c r="G6" i="3"/>
  <c r="C6" i="3"/>
  <c r="C23" i="9"/>
  <c r="D23" i="9"/>
  <c r="C24" i="9"/>
  <c r="C13" i="9"/>
  <c r="D13" i="9"/>
  <c r="E13" i="9"/>
  <c r="C14" i="9"/>
  <c r="D14" i="9"/>
  <c r="E14" i="9"/>
  <c r="C15" i="9"/>
  <c r="D15" i="9"/>
  <c r="E15" i="9"/>
  <c r="C16" i="9"/>
  <c r="C36" i="9" s="1"/>
  <c r="D16" i="9"/>
  <c r="D36" i="9" s="1"/>
  <c r="E16" i="9"/>
  <c r="E36" i="9" s="1"/>
  <c r="F14" i="9"/>
  <c r="F15" i="9"/>
  <c r="F16" i="9"/>
  <c r="F36" i="9" s="1"/>
  <c r="C6" i="9"/>
  <c r="D6" i="9"/>
  <c r="E6" i="9"/>
  <c r="C7" i="9"/>
  <c r="C25" i="9" s="1"/>
  <c r="D7" i="9"/>
  <c r="E7" i="9"/>
  <c r="C8" i="9"/>
  <c r="D8" i="9"/>
  <c r="E8" i="9"/>
  <c r="E30" i="9" s="1"/>
  <c r="C9" i="9"/>
  <c r="C31" i="9" s="1"/>
  <c r="D9" i="9"/>
  <c r="E9" i="9"/>
  <c r="C10" i="9"/>
  <c r="D10" i="9"/>
  <c r="E10" i="9"/>
  <c r="C8" i="7"/>
  <c r="D9" i="7"/>
  <c r="D6" i="10"/>
  <c r="D5" i="4" s="1"/>
  <c r="E6" i="10"/>
  <c r="E5" i="4" s="1"/>
  <c r="C6" i="7"/>
  <c r="C29" i="7" s="1"/>
  <c r="D6" i="7"/>
  <c r="D29" i="7" s="1"/>
  <c r="C65" i="4"/>
  <c r="C20" i="10"/>
  <c r="C9" i="7" s="1"/>
  <c r="D20" i="10"/>
  <c r="D10" i="10"/>
  <c r="D11" i="10" s="1"/>
  <c r="D12" i="10" s="1"/>
  <c r="C10" i="10"/>
  <c r="C11" i="10" s="1"/>
  <c r="C12" i="10" s="1"/>
  <c r="D40" i="4"/>
  <c r="C40" i="4"/>
  <c r="E16" i="7"/>
  <c r="G16" i="7"/>
  <c r="E65" i="4"/>
  <c r="G65" i="4"/>
  <c r="C12" i="7"/>
  <c r="C19" i="7" s="1"/>
  <c r="D12" i="7"/>
  <c r="D19" i="7" s="1"/>
  <c r="F12" i="7"/>
  <c r="F19" i="7" s="1"/>
  <c r="G12" i="7"/>
  <c r="G19" i="7" s="1"/>
  <c r="E12" i="7"/>
  <c r="E19" i="7" s="1"/>
  <c r="F6" i="7"/>
  <c r="F29" i="7" s="1"/>
  <c r="G6" i="7"/>
  <c r="G29" i="7" s="1"/>
  <c r="E6" i="7"/>
  <c r="E29" i="7" s="1"/>
  <c r="W20" i="7"/>
  <c r="W17" i="7"/>
  <c r="E5" i="7"/>
  <c r="F5" i="7" s="1"/>
  <c r="G5" i="7" s="1"/>
  <c r="H5" i="7" s="1"/>
  <c r="I5" i="7" s="1"/>
  <c r="J5" i="7" s="1"/>
  <c r="K5" i="7" s="1"/>
  <c r="L5" i="7" s="1"/>
  <c r="M5" i="7" s="1"/>
  <c r="D5" i="7"/>
  <c r="D36" i="11"/>
  <c r="D38" i="11" s="1"/>
  <c r="D39" i="11" s="1"/>
  <c r="C38" i="11"/>
  <c r="C39" i="11" s="1"/>
  <c r="C36" i="11"/>
  <c r="E25" i="11"/>
  <c r="E28" i="11" s="1"/>
  <c r="E18" i="11"/>
  <c r="C25" i="11"/>
  <c r="C28" i="11" s="1"/>
  <c r="C12" i="11"/>
  <c r="C18" i="11" s="1"/>
  <c r="D25" i="11"/>
  <c r="D28" i="11" s="1"/>
  <c r="D12" i="11"/>
  <c r="D18" i="11" s="1"/>
  <c r="F45" i="4"/>
  <c r="G45" i="4"/>
  <c r="E45" i="4"/>
  <c r="F35" i="4"/>
  <c r="G35" i="4"/>
  <c r="E35" i="4"/>
  <c r="E30" i="4"/>
  <c r="F30" i="4"/>
  <c r="G30" i="4"/>
  <c r="F25" i="4"/>
  <c r="G25" i="4"/>
  <c r="E25" i="4"/>
  <c r="G16" i="10"/>
  <c r="G40" i="4" s="1"/>
  <c r="F16" i="10"/>
  <c r="F40" i="4" s="1"/>
  <c r="E16" i="10"/>
  <c r="E40" i="4" s="1"/>
  <c r="F20" i="4"/>
  <c r="G20" i="4"/>
  <c r="E20" i="4"/>
  <c r="G6" i="10"/>
  <c r="G5" i="4" s="1"/>
  <c r="F6" i="10"/>
  <c r="F5" i="4" s="1"/>
  <c r="F15" i="4"/>
  <c r="G15" i="4"/>
  <c r="E15" i="4"/>
  <c r="F10" i="4"/>
  <c r="G10" i="4"/>
  <c r="E10" i="4"/>
  <c r="G14" i="9"/>
  <c r="G15" i="9"/>
  <c r="G16" i="9"/>
  <c r="G36" i="9" s="1"/>
  <c r="F7" i="9"/>
  <c r="G7" i="9"/>
  <c r="H25" i="9" s="1"/>
  <c r="F8" i="9"/>
  <c r="G8" i="9"/>
  <c r="F9" i="9"/>
  <c r="G9" i="9"/>
  <c r="F10" i="9"/>
  <c r="G10" i="9"/>
  <c r="G6" i="9"/>
  <c r="F6" i="9"/>
  <c r="G13" i="9"/>
  <c r="H26" i="9" s="1"/>
  <c r="F13" i="9"/>
  <c r="F10" i="10"/>
  <c r="F11" i="10" s="1"/>
  <c r="F12" i="10" s="1"/>
  <c r="G10" i="10"/>
  <c r="G24" i="9" s="1"/>
  <c r="E10" i="10"/>
  <c r="E24" i="9" s="1"/>
  <c r="E26" i="9" s="1"/>
  <c r="F23" i="9"/>
  <c r="G23" i="9"/>
  <c r="E23" i="9"/>
  <c r="D4" i="11"/>
  <c r="E4" i="11" s="1"/>
  <c r="F4" i="11" s="1"/>
  <c r="G4" i="11" s="1"/>
  <c r="D4" i="10"/>
  <c r="E4" i="10" s="1"/>
  <c r="F4" i="10" s="1"/>
  <c r="G4" i="10" s="1"/>
  <c r="C34" i="9" l="1"/>
  <c r="C35" i="9"/>
  <c r="D30" i="9"/>
  <c r="E32" i="9"/>
  <c r="E34" i="9"/>
  <c r="D31" i="9"/>
  <c r="D24" i="9"/>
  <c r="D35" i="9" s="1"/>
  <c r="D21" i="10"/>
  <c r="D34" i="9"/>
  <c r="C16" i="7"/>
  <c r="D32" i="9"/>
  <c r="D8" i="7"/>
  <c r="D10" i="7" s="1"/>
  <c r="D16" i="7"/>
  <c r="D65" i="4"/>
  <c r="F16" i="7"/>
  <c r="F65" i="4"/>
  <c r="E35" i="9"/>
  <c r="C26" i="9"/>
  <c r="C10" i="7"/>
  <c r="K47" i="4"/>
  <c r="M48" i="4"/>
  <c r="J47" i="4"/>
  <c r="L47" i="4"/>
  <c r="L48" i="4"/>
  <c r="I47" i="4"/>
  <c r="I48" i="4"/>
  <c r="K48" i="4"/>
  <c r="J48" i="4"/>
  <c r="M47" i="4"/>
  <c r="M46" i="4"/>
  <c r="M45" i="4" s="1"/>
  <c r="I46" i="4"/>
  <c r="I45" i="4" s="1"/>
  <c r="J46" i="4"/>
  <c r="J45" i="4" s="1"/>
  <c r="I40" i="4"/>
  <c r="J40" i="4"/>
  <c r="E25" i="9"/>
  <c r="D25" i="9"/>
  <c r="C32" i="9"/>
  <c r="C30" i="9"/>
  <c r="E11" i="9"/>
  <c r="E31" i="9"/>
  <c r="D11" i="9"/>
  <c r="C11" i="9"/>
  <c r="C21" i="10"/>
  <c r="E8" i="7"/>
  <c r="G8" i="7"/>
  <c r="D30" i="4"/>
  <c r="C30" i="4"/>
  <c r="F8" i="7"/>
  <c r="E20" i="10"/>
  <c r="E9" i="7" s="1"/>
  <c r="G20" i="10"/>
  <c r="G9" i="7" s="1"/>
  <c r="F20" i="10"/>
  <c r="F9" i="7" s="1"/>
  <c r="G34" i="9"/>
  <c r="G35" i="9"/>
  <c r="L46" i="4"/>
  <c r="L45" i="4" s="1"/>
  <c r="K46" i="4"/>
  <c r="K45" i="4" s="1"/>
  <c r="M40" i="4"/>
  <c r="L40" i="4"/>
  <c r="K40" i="4"/>
  <c r="G11" i="10"/>
  <c r="G12" i="10" s="1"/>
  <c r="E11" i="10"/>
  <c r="F24" i="9"/>
  <c r="F35" i="9" s="1"/>
  <c r="F34" i="9"/>
  <c r="F32" i="9"/>
  <c r="G31" i="9"/>
  <c r="F31" i="9"/>
  <c r="G32" i="9"/>
  <c r="G30" i="9"/>
  <c r="F30" i="9"/>
  <c r="G25" i="9"/>
  <c r="F25" i="9"/>
  <c r="G26" i="9"/>
  <c r="G11" i="9"/>
  <c r="F11" i="9"/>
  <c r="D5" i="9"/>
  <c r="E5" i="9" s="1"/>
  <c r="F5" i="9" s="1"/>
  <c r="G5" i="9" s="1"/>
  <c r="H5" i="9" s="1"/>
  <c r="I5" i="9" s="1"/>
  <c r="J5" i="9" s="1"/>
  <c r="K5" i="9" s="1"/>
  <c r="L5" i="9" s="1"/>
  <c r="M5" i="9" s="1"/>
  <c r="F21" i="10" l="1"/>
  <c r="D26" i="9"/>
  <c r="J34" i="9"/>
  <c r="K34" i="9"/>
  <c r="L34" i="9"/>
  <c r="M34" i="9"/>
  <c r="G21" i="10"/>
  <c r="E21" i="10"/>
  <c r="K30" i="4"/>
  <c r="J30" i="4"/>
  <c r="L30" i="4"/>
  <c r="M30" i="4"/>
  <c r="I30" i="4"/>
  <c r="I10" i="4"/>
  <c r="E10" i="7"/>
  <c r="G10" i="7"/>
  <c r="F10" i="7"/>
  <c r="E12" i="10"/>
  <c r="F26" i="9"/>
  <c r="F17" i="9"/>
  <c r="D17" i="9"/>
  <c r="D19" i="9" s="1"/>
  <c r="E17" i="9"/>
  <c r="E19" i="9" s="1"/>
  <c r="G17" i="9"/>
  <c r="C17" i="9"/>
  <c r="C19" i="9" s="1"/>
  <c r="J10" i="4" l="1"/>
  <c r="I20" i="4"/>
  <c r="I25" i="4"/>
  <c r="J26" i="4"/>
  <c r="J27" i="4" s="1"/>
  <c r="F19" i="9"/>
  <c r="F20" i="9" s="1"/>
  <c r="F20" i="7" s="1"/>
  <c r="F30" i="7" s="1"/>
  <c r="E20" i="9"/>
  <c r="E20" i="7" s="1"/>
  <c r="E30" i="7" s="1"/>
  <c r="D20" i="9"/>
  <c r="D20" i="7" s="1"/>
  <c r="D30" i="7" s="1"/>
  <c r="G19" i="9"/>
  <c r="J26" i="9"/>
  <c r="J22" i="4" l="1"/>
  <c r="K21" i="4"/>
  <c r="J20" i="4"/>
  <c r="J25" i="4"/>
  <c r="K26" i="4"/>
  <c r="K27" i="4" s="1"/>
  <c r="K10" i="4"/>
  <c r="I25" i="9"/>
  <c r="J25" i="9" s="1"/>
  <c r="G20" i="9"/>
  <c r="G20" i="7" s="1"/>
  <c r="G30" i="7" s="1"/>
  <c r="K26" i="9"/>
  <c r="K22" i="4" l="1"/>
  <c r="L10" i="4"/>
  <c r="L26" i="4"/>
  <c r="L27" i="4" s="1"/>
  <c r="K25" i="4"/>
  <c r="L21" i="4"/>
  <c r="K20" i="4"/>
  <c r="K25" i="9"/>
  <c r="L26" i="9"/>
  <c r="L22" i="4" l="1"/>
  <c r="M21" i="4"/>
  <c r="L20" i="4"/>
  <c r="M26" i="4"/>
  <c r="M27" i="4" s="1"/>
  <c r="L25" i="4"/>
  <c r="M26" i="9"/>
  <c r="L25" i="9"/>
  <c r="M10" i="4" l="1"/>
  <c r="M20" i="4"/>
  <c r="M22" i="4"/>
  <c r="M25" i="4"/>
  <c r="M25" i="9"/>
  <c r="W18" i="7" l="1"/>
  <c r="K26" i="8" l="1"/>
  <c r="H26" i="8"/>
  <c r="G26" i="8"/>
  <c r="F26" i="8"/>
  <c r="H25" i="8"/>
  <c r="G25" i="8"/>
  <c r="F25" i="8"/>
  <c r="J24" i="8"/>
  <c r="I24" i="8"/>
  <c r="L24" i="8" s="1"/>
  <c r="J21" i="8"/>
  <c r="I21" i="8"/>
  <c r="L21" i="8" s="1"/>
  <c r="J20" i="8"/>
  <c r="I20" i="8"/>
  <c r="L20" i="8" s="1"/>
  <c r="J19" i="8"/>
  <c r="I19" i="8"/>
  <c r="L19" i="8" s="1"/>
  <c r="J18" i="8"/>
  <c r="I18" i="8"/>
  <c r="I6" i="8"/>
  <c r="I5" i="8"/>
  <c r="I4" i="8" l="1"/>
  <c r="I26" i="8"/>
  <c r="J26" i="8"/>
  <c r="L18" i="8"/>
  <c r="I25" i="8"/>
  <c r="J25" i="8"/>
  <c r="L25" i="8" l="1"/>
  <c r="L26" i="8"/>
  <c r="C7" i="8" s="1"/>
  <c r="C13" i="8" s="1"/>
  <c r="C33" i="7" s="1"/>
  <c r="K50" i="4" l="1"/>
  <c r="I55" i="4"/>
  <c r="J50" i="4" l="1"/>
  <c r="M55" i="4"/>
  <c r="L55" i="4"/>
  <c r="M50" i="4"/>
  <c r="K55" i="4"/>
  <c r="I50" i="4"/>
  <c r="L50" i="4"/>
  <c r="J55" i="4"/>
  <c r="D4" i="4" l="1"/>
  <c r="E4" i="4" s="1"/>
  <c r="F4" i="4" s="1"/>
  <c r="G4" i="4" s="1"/>
  <c r="J4" i="3"/>
  <c r="K4" i="3" s="1"/>
  <c r="L4" i="3" s="1"/>
  <c r="M4" i="3" s="1"/>
  <c r="D4" i="3"/>
  <c r="E4" i="3" s="1"/>
  <c r="F4" i="3" s="1"/>
  <c r="G4" i="3" s="1"/>
  <c r="H29" i="7" l="1"/>
  <c r="H11" i="9" l="1"/>
  <c r="H10" i="7" l="1"/>
  <c r="E13" i="7" l="1"/>
  <c r="E17" i="7" s="1"/>
  <c r="E21" i="7" s="1"/>
  <c r="E23" i="7" s="1"/>
  <c r="G11" i="7"/>
  <c r="F7" i="7"/>
  <c r="F11" i="7"/>
  <c r="G7" i="7"/>
  <c r="F13" i="7" l="1"/>
  <c r="F14" i="7" s="1"/>
  <c r="G13" i="7"/>
  <c r="G17" i="7" s="1"/>
  <c r="G21" i="7" s="1"/>
  <c r="G23" i="7" s="1"/>
  <c r="E14" i="7"/>
  <c r="E11" i="7"/>
  <c r="F17" i="7" l="1"/>
  <c r="G14" i="7"/>
  <c r="H7" i="7"/>
  <c r="H11" i="7"/>
  <c r="F21" i="7" l="1"/>
  <c r="H17" i="9"/>
  <c r="H19" i="9" s="1"/>
  <c r="H20" i="9" s="1"/>
  <c r="H13" i="7"/>
  <c r="H17" i="7" s="1"/>
  <c r="F23" i="7" l="1"/>
  <c r="H20" i="7"/>
  <c r="H30" i="7" s="1"/>
  <c r="H14" i="7"/>
  <c r="H21" i="7" l="1"/>
  <c r="H24" i="7" s="1"/>
  <c r="H23" i="7" l="1"/>
  <c r="H26" i="7" s="1"/>
  <c r="E7" i="7" l="1"/>
  <c r="D11" i="7"/>
  <c r="D13" i="7" l="1"/>
  <c r="D17" i="7" l="1"/>
  <c r="D21" i="7" s="1"/>
  <c r="D23" i="7" s="1"/>
  <c r="D14" i="7"/>
  <c r="D7" i="7" l="1"/>
  <c r="C13" i="7"/>
  <c r="C11" i="7" l="1"/>
  <c r="C14" i="7"/>
  <c r="C17" i="7"/>
  <c r="C21" i="7" l="1"/>
  <c r="D24" i="7" l="1"/>
  <c r="C23" i="7"/>
  <c r="I13" i="12" l="1"/>
  <c r="J13" i="12" l="1"/>
  <c r="K13" i="12" l="1"/>
  <c r="L13" i="12" l="1"/>
  <c r="M13" i="12" l="1"/>
  <c r="K16" i="12"/>
  <c r="L16" i="12" l="1"/>
  <c r="M16" i="12"/>
  <c r="H22" i="12"/>
  <c r="H26" i="12" s="1"/>
  <c r="I26" i="12" s="1"/>
  <c r="J26" i="12" s="1"/>
  <c r="K26" i="12" s="1"/>
  <c r="L26" i="12" s="1"/>
  <c r="M26" i="12" s="1"/>
  <c r="I4" i="12"/>
  <c r="I22" i="12" s="1"/>
  <c r="G4" i="12"/>
  <c r="I24" i="12" l="1"/>
  <c r="I25" i="12" s="1"/>
  <c r="I6" i="4" s="1"/>
  <c r="I5" i="4" s="1"/>
  <c r="I5" i="10" s="1"/>
  <c r="J4" i="12"/>
  <c r="G22" i="12"/>
  <c r="I19" i="10" l="1"/>
  <c r="I26" i="10"/>
  <c r="I25" i="10"/>
  <c r="I24" i="10"/>
  <c r="I17" i="10"/>
  <c r="I18" i="10"/>
  <c r="I12" i="7" s="1"/>
  <c r="I15" i="10"/>
  <c r="I16" i="10"/>
  <c r="I9" i="10"/>
  <c r="I14" i="10"/>
  <c r="I8" i="10"/>
  <c r="I23" i="9"/>
  <c r="I8" i="9" s="1"/>
  <c r="I9" i="11" s="1"/>
  <c r="J22" i="12"/>
  <c r="J24" i="12" s="1"/>
  <c r="J25" i="12" s="1"/>
  <c r="J6" i="4" s="1"/>
  <c r="J5" i="4" s="1"/>
  <c r="J5" i="10" s="1"/>
  <c r="K4" i="12"/>
  <c r="G26" i="12"/>
  <c r="J26" i="10" l="1"/>
  <c r="J24" i="10"/>
  <c r="J25" i="10"/>
  <c r="I28" i="10"/>
  <c r="J15" i="10"/>
  <c r="J19" i="10"/>
  <c r="J16" i="10"/>
  <c r="J18" i="10"/>
  <c r="J17" i="10"/>
  <c r="J14" i="10"/>
  <c r="J8" i="10"/>
  <c r="I6" i="7"/>
  <c r="I18" i="7" s="1"/>
  <c r="I6" i="10"/>
  <c r="I19" i="3"/>
  <c r="I10" i="10"/>
  <c r="I24" i="9" s="1"/>
  <c r="I19" i="7"/>
  <c r="I6" i="3"/>
  <c r="I20" i="10"/>
  <c r="I9" i="7" s="1"/>
  <c r="I9" i="9"/>
  <c r="I10" i="11" s="1"/>
  <c r="I7" i="9"/>
  <c r="I8" i="11" s="1"/>
  <c r="I14" i="9"/>
  <c r="I22" i="11" s="1"/>
  <c r="I6" i="9"/>
  <c r="I7" i="11" s="1"/>
  <c r="I10" i="9"/>
  <c r="I11" i="11" s="1"/>
  <c r="K22" i="12"/>
  <c r="K24" i="12" s="1"/>
  <c r="K25" i="12" s="1"/>
  <c r="K6" i="4" s="1"/>
  <c r="K5" i="4" s="1"/>
  <c r="K5" i="10" s="1"/>
  <c r="L4" i="12"/>
  <c r="J23" i="9"/>
  <c r="J19" i="3"/>
  <c r="J9" i="10"/>
  <c r="J6" i="7"/>
  <c r="J18" i="7" s="1"/>
  <c r="J6" i="10"/>
  <c r="K26" i="10" l="1"/>
  <c r="K24" i="10"/>
  <c r="K25" i="10"/>
  <c r="J28" i="10"/>
  <c r="L24" i="10"/>
  <c r="I7" i="7"/>
  <c r="I29" i="7"/>
  <c r="K15" i="10"/>
  <c r="K19" i="10"/>
  <c r="K16" i="10"/>
  <c r="K18" i="10"/>
  <c r="K14" i="10"/>
  <c r="K17" i="10"/>
  <c r="K8" i="10"/>
  <c r="I11" i="10"/>
  <c r="I12" i="10" s="1"/>
  <c r="I8" i="7"/>
  <c r="I10" i="7" s="1"/>
  <c r="I12" i="11"/>
  <c r="I18" i="11" s="1"/>
  <c r="I11" i="9"/>
  <c r="I15" i="9"/>
  <c r="I23" i="11" s="1"/>
  <c r="I13" i="9"/>
  <c r="J6" i="3"/>
  <c r="J19" i="7"/>
  <c r="J12" i="7"/>
  <c r="M4" i="12"/>
  <c r="M22" i="12" s="1"/>
  <c r="M24" i="12" s="1"/>
  <c r="L22" i="12"/>
  <c r="L24" i="12" s="1"/>
  <c r="L25" i="12" s="1"/>
  <c r="L6" i="4" s="1"/>
  <c r="L5" i="4" s="1"/>
  <c r="L5" i="10" s="1"/>
  <c r="K9" i="10"/>
  <c r="K6" i="10"/>
  <c r="K19" i="3"/>
  <c r="K6" i="7"/>
  <c r="K18" i="7" s="1"/>
  <c r="K23" i="9"/>
  <c r="J20" i="10"/>
  <c r="J9" i="7" s="1"/>
  <c r="J14" i="9"/>
  <c r="J22" i="11" s="1"/>
  <c r="J6" i="9"/>
  <c r="J7" i="9"/>
  <c r="J8" i="11" s="1"/>
  <c r="J10" i="9"/>
  <c r="J11" i="11" s="1"/>
  <c r="J8" i="9"/>
  <c r="J9" i="11" s="1"/>
  <c r="J9" i="9"/>
  <c r="J10" i="11" s="1"/>
  <c r="J10" i="10"/>
  <c r="J7" i="7"/>
  <c r="J29" i="7"/>
  <c r="K28" i="10" l="1"/>
  <c r="M24" i="10"/>
  <c r="L26" i="10"/>
  <c r="L25" i="10"/>
  <c r="L28" i="10" s="1"/>
  <c r="L15" i="10"/>
  <c r="L16" i="10"/>
  <c r="L19" i="10"/>
  <c r="L18" i="10"/>
  <c r="L14" i="10"/>
  <c r="L17" i="10"/>
  <c r="I21" i="10"/>
  <c r="I29" i="10" s="1"/>
  <c r="L8" i="10"/>
  <c r="K10" i="10"/>
  <c r="K8" i="7" s="1"/>
  <c r="I13" i="7"/>
  <c r="I14" i="7" s="1"/>
  <c r="I11" i="7"/>
  <c r="M25" i="12"/>
  <c r="M6" i="4" s="1"/>
  <c r="M5" i="4" s="1"/>
  <c r="M5" i="10" s="1"/>
  <c r="K20" i="10"/>
  <c r="K9" i="7" s="1"/>
  <c r="L6" i="10"/>
  <c r="L23" i="9"/>
  <c r="L9" i="10"/>
  <c r="L6" i="7"/>
  <c r="L18" i="7" s="1"/>
  <c r="L19" i="3"/>
  <c r="K7" i="7"/>
  <c r="K29" i="7"/>
  <c r="J24" i="9"/>
  <c r="J8" i="7"/>
  <c r="J10" i="7" s="1"/>
  <c r="J11" i="10"/>
  <c r="J7" i="11"/>
  <c r="J12" i="11" s="1"/>
  <c r="J18" i="11" s="1"/>
  <c r="J11" i="9"/>
  <c r="K6" i="9"/>
  <c r="K7" i="9"/>
  <c r="K8" i="11" s="1"/>
  <c r="K10" i="9"/>
  <c r="K11" i="11" s="1"/>
  <c r="K14" i="9"/>
  <c r="K22" i="11" s="1"/>
  <c r="K8" i="9"/>
  <c r="K9" i="11" s="1"/>
  <c r="K9" i="9"/>
  <c r="K10" i="11" s="1"/>
  <c r="K6" i="3"/>
  <c r="K19" i="7"/>
  <c r="K12" i="7"/>
  <c r="I20" i="11"/>
  <c r="I30" i="10" l="1"/>
  <c r="I32" i="10"/>
  <c r="M26" i="10"/>
  <c r="M25" i="10"/>
  <c r="M28" i="10" s="1"/>
  <c r="M15" i="10"/>
  <c r="M19" i="10"/>
  <c r="M16" i="10"/>
  <c r="M18" i="10"/>
  <c r="M14" i="10"/>
  <c r="M17" i="10"/>
  <c r="K11" i="10"/>
  <c r="K21" i="10" s="1"/>
  <c r="K29" i="10" s="1"/>
  <c r="K24" i="9"/>
  <c r="K15" i="9" s="1"/>
  <c r="K23" i="11" s="1"/>
  <c r="M8" i="10"/>
  <c r="M6" i="7"/>
  <c r="M18" i="7" s="1"/>
  <c r="K10" i="7"/>
  <c r="K13" i="7" s="1"/>
  <c r="L29" i="7"/>
  <c r="L7" i="7"/>
  <c r="J11" i="7"/>
  <c r="J13" i="7"/>
  <c r="L10" i="9"/>
  <c r="L11" i="11" s="1"/>
  <c r="L14" i="9"/>
  <c r="L22" i="11" s="1"/>
  <c r="L6" i="9"/>
  <c r="L9" i="9"/>
  <c r="L10" i="11" s="1"/>
  <c r="L7" i="9"/>
  <c r="L8" i="11" s="1"/>
  <c r="L8" i="9"/>
  <c r="L9" i="11" s="1"/>
  <c r="L6" i="3"/>
  <c r="L19" i="7"/>
  <c r="L12" i="7"/>
  <c r="L10" i="10"/>
  <c r="J13" i="9"/>
  <c r="J15" i="9"/>
  <c r="J23" i="11" s="1"/>
  <c r="I16" i="9"/>
  <c r="I15" i="7"/>
  <c r="I17" i="7" s="1"/>
  <c r="M19" i="3"/>
  <c r="M6" i="10"/>
  <c r="M23" i="9"/>
  <c r="M9" i="10"/>
  <c r="I36" i="10"/>
  <c r="I35" i="10"/>
  <c r="I5" i="3"/>
  <c r="I34" i="11"/>
  <c r="K7" i="11"/>
  <c r="K12" i="11" s="1"/>
  <c r="K18" i="11" s="1"/>
  <c r="K11" i="9"/>
  <c r="J12" i="10"/>
  <c r="J21" i="10"/>
  <c r="J29" i="10" s="1"/>
  <c r="L20" i="10"/>
  <c r="L9" i="7" s="1"/>
  <c r="J30" i="10" l="1"/>
  <c r="J32" i="10" s="1"/>
  <c r="K30" i="10"/>
  <c r="K32" i="10" s="1"/>
  <c r="M10" i="10"/>
  <c r="M11" i="10" s="1"/>
  <c r="M12" i="10" s="1"/>
  <c r="K12" i="10"/>
  <c r="K13" i="9"/>
  <c r="K20" i="11" s="1"/>
  <c r="K11" i="7"/>
  <c r="J14" i="7"/>
  <c r="M29" i="7"/>
  <c r="M7" i="7"/>
  <c r="L8" i="7"/>
  <c r="L10" i="7" s="1"/>
  <c r="L24" i="9"/>
  <c r="L11" i="10"/>
  <c r="I36" i="11"/>
  <c r="I38" i="11" s="1"/>
  <c r="J20" i="11"/>
  <c r="L7" i="11"/>
  <c r="L12" i="11" s="1"/>
  <c r="L18" i="11" s="1"/>
  <c r="L11" i="9"/>
  <c r="I24" i="11"/>
  <c r="I25" i="11" s="1"/>
  <c r="I28" i="11" s="1"/>
  <c r="I17" i="9"/>
  <c r="I19" i="9" s="1"/>
  <c r="I20" i="9" s="1"/>
  <c r="I20" i="7" s="1"/>
  <c r="I30" i="7" s="1"/>
  <c r="M20" i="10"/>
  <c r="M9" i="7" s="1"/>
  <c r="M19" i="7"/>
  <c r="M12" i="7"/>
  <c r="M6" i="3"/>
  <c r="M14" i="9"/>
  <c r="M22" i="11" s="1"/>
  <c r="M8" i="9"/>
  <c r="M9" i="11" s="1"/>
  <c r="M6" i="9"/>
  <c r="M10" i="9"/>
  <c r="M11" i="11" s="1"/>
  <c r="M7" i="9"/>
  <c r="M8" i="11" s="1"/>
  <c r="M9" i="9"/>
  <c r="M10" i="11" s="1"/>
  <c r="K14" i="7"/>
  <c r="M24" i="9" l="1"/>
  <c r="M15" i="9" s="1"/>
  <c r="M23" i="11" s="1"/>
  <c r="M8" i="7"/>
  <c r="M10" i="7" s="1"/>
  <c r="M21" i="10"/>
  <c r="M29" i="10" s="1"/>
  <c r="L13" i="9"/>
  <c r="L15" i="9"/>
  <c r="L23" i="11" s="1"/>
  <c r="L11" i="7"/>
  <c r="L13" i="7"/>
  <c r="M11" i="9"/>
  <c r="M7" i="11"/>
  <c r="M12" i="11" s="1"/>
  <c r="M18" i="11" s="1"/>
  <c r="J36" i="10"/>
  <c r="J35" i="10"/>
  <c r="J5" i="3"/>
  <c r="J16" i="9"/>
  <c r="J15" i="7"/>
  <c r="J17" i="7" s="1"/>
  <c r="I21" i="7"/>
  <c r="L21" i="10"/>
  <c r="L29" i="10" s="1"/>
  <c r="L12" i="10"/>
  <c r="K15" i="7"/>
  <c r="K17" i="7" s="1"/>
  <c r="K16" i="9"/>
  <c r="I39" i="11"/>
  <c r="I41" i="11" s="1"/>
  <c r="J34" i="11"/>
  <c r="L30" i="10" l="1"/>
  <c r="L32" i="10" s="1"/>
  <c r="M30" i="10"/>
  <c r="M32" i="10"/>
  <c r="M36" i="10" s="1"/>
  <c r="M13" i="9"/>
  <c r="M20" i="11" s="1"/>
  <c r="M11" i="7"/>
  <c r="M13" i="7"/>
  <c r="M14" i="7" s="1"/>
  <c r="R7" i="7"/>
  <c r="R9" i="7" s="1"/>
  <c r="K34" i="11"/>
  <c r="J36" i="11"/>
  <c r="J38" i="11" s="1"/>
  <c r="M15" i="7"/>
  <c r="M16" i="9"/>
  <c r="M24" i="11" s="1"/>
  <c r="L20" i="11"/>
  <c r="L14" i="7"/>
  <c r="K24" i="11"/>
  <c r="K25" i="11" s="1"/>
  <c r="K28" i="11" s="1"/>
  <c r="K17" i="9"/>
  <c r="K19" i="9" s="1"/>
  <c r="I22" i="7"/>
  <c r="I23" i="7" s="1"/>
  <c r="I26" i="7" s="1"/>
  <c r="I24" i="7"/>
  <c r="K5" i="3"/>
  <c r="K36" i="10"/>
  <c r="K35" i="10"/>
  <c r="J24" i="11"/>
  <c r="J25" i="11" s="1"/>
  <c r="J28" i="11" s="1"/>
  <c r="J17" i="9"/>
  <c r="J19" i="9" s="1"/>
  <c r="J20" i="9" s="1"/>
  <c r="J20" i="7" s="1"/>
  <c r="J30" i="7" s="1"/>
  <c r="M35" i="10" l="1"/>
  <c r="M5" i="3"/>
  <c r="M17" i="7"/>
  <c r="K20" i="9"/>
  <c r="K20" i="7" s="1"/>
  <c r="K30" i="7" s="1"/>
  <c r="M25" i="11"/>
  <c r="M28" i="11" s="1"/>
  <c r="M17" i="9"/>
  <c r="M19" i="9" s="1"/>
  <c r="J21" i="7"/>
  <c r="L15" i="7"/>
  <c r="L17" i="7" s="1"/>
  <c r="L16" i="9"/>
  <c r="L5" i="3"/>
  <c r="L35" i="10"/>
  <c r="L36" i="10"/>
  <c r="J39" i="11"/>
  <c r="J41" i="11" s="1"/>
  <c r="K36" i="11"/>
  <c r="K38" i="11" s="1"/>
  <c r="K39" i="11" s="1"/>
  <c r="K41" i="11" s="1"/>
  <c r="L34" i="11"/>
  <c r="K21" i="7" l="1"/>
  <c r="L24" i="11"/>
  <c r="L25" i="11" s="1"/>
  <c r="L28" i="11" s="1"/>
  <c r="L17" i="9"/>
  <c r="L19" i="9" s="1"/>
  <c r="L20" i="9" s="1"/>
  <c r="L20" i="7" s="1"/>
  <c r="L30" i="7" s="1"/>
  <c r="M34" i="11"/>
  <c r="M36" i="11" s="1"/>
  <c r="M38" i="11" s="1"/>
  <c r="M39" i="11" s="1"/>
  <c r="M41" i="11" s="1"/>
  <c r="L36" i="11"/>
  <c r="L38" i="11" s="1"/>
  <c r="J23" i="7"/>
  <c r="J26" i="7" s="1"/>
  <c r="J24" i="7"/>
  <c r="K23" i="7"/>
  <c r="K26" i="7" s="1"/>
  <c r="K24" i="7"/>
  <c r="L39" i="11" l="1"/>
  <c r="L41" i="11" s="1"/>
  <c r="L21" i="7"/>
  <c r="L23" i="7" s="1"/>
  <c r="L26" i="7" s="1"/>
  <c r="M20" i="9"/>
  <c r="M20" i="7" s="1"/>
  <c r="M30" i="7" s="1"/>
  <c r="L24" i="7" l="1"/>
  <c r="M21" i="7"/>
  <c r="M23" i="7" s="1"/>
  <c r="M26" i="7" s="1"/>
  <c r="W7" i="7" s="1"/>
  <c r="W9" i="7" s="1"/>
  <c r="M24" i="7" l="1"/>
  <c r="R10" i="7" s="1"/>
  <c r="R15" i="7" s="1"/>
  <c r="W14" i="7"/>
  <c r="R14" i="7"/>
  <c r="R16" i="7" s="1"/>
  <c r="R19" i="7" s="1"/>
  <c r="R21" i="7" s="1"/>
  <c r="U27" i="7" s="1"/>
  <c r="W10" i="7" l="1"/>
  <c r="W15" i="7" s="1"/>
  <c r="W16" i="7" s="1"/>
  <c r="W19" i="7" s="1"/>
  <c r="W21" i="7" s="1"/>
  <c r="U26" i="7" s="1"/>
  <c r="U28" i="7" s="1"/>
  <c r="U31" i="7" s="1"/>
  <c r="U33" i="7" s="1"/>
  <c r="I21" i="6" l="1"/>
  <c r="I2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Prame</author>
  </authors>
  <commentList>
    <comment ref="H6" authorId="0" shapeId="0" xr:uid="{6951A146-4C20-43DD-9365-F6B7637BA737}">
      <text>
        <r>
          <rPr>
            <b/>
            <sz val="9"/>
            <color indexed="81"/>
            <rFont val="Tahoma"/>
            <family val="2"/>
          </rPr>
          <t>Matthew Prame:</t>
        </r>
        <r>
          <rPr>
            <sz val="9"/>
            <color indexed="81"/>
            <rFont val="Tahoma"/>
            <family val="2"/>
          </rPr>
          <t xml:space="preserve">
put other depreciaton together, need to change this
</t>
        </r>
      </text>
    </comment>
    <comment ref="B35" authorId="0" shapeId="0" xr:uid="{B990F3B7-FC3A-4267-A70D-5BD6565C49DF}">
      <text>
        <r>
          <rPr>
            <b/>
            <sz val="9"/>
            <color indexed="81"/>
            <rFont val="Tahoma"/>
            <family val="2"/>
          </rPr>
          <t>Matthew Prame:</t>
        </r>
        <r>
          <rPr>
            <sz val="9"/>
            <color indexed="81"/>
            <rFont val="Tahoma"/>
            <family val="2"/>
          </rPr>
          <t xml:space="preserve">
funds payable/amt due to customers
</t>
        </r>
      </text>
    </comment>
    <comment ref="B36" authorId="0" shapeId="0" xr:uid="{B9C939FF-F125-4C10-9AA8-9916DFB6D877}">
      <text>
        <r>
          <rPr>
            <b/>
            <sz val="9"/>
            <color indexed="81"/>
            <rFont val="Tahoma"/>
            <family val="2"/>
          </rPr>
          <t>Matthew Prame:</t>
        </r>
        <r>
          <rPr>
            <sz val="9"/>
            <color indexed="81"/>
            <rFont val="Tahoma"/>
            <family val="2"/>
          </rPr>
          <t xml:space="preserve">
funds payable/amt due to customers
</t>
        </r>
      </text>
    </comment>
  </commentList>
</comments>
</file>

<file path=xl/sharedStrings.xml><?xml version="1.0" encoding="utf-8"?>
<sst xmlns="http://schemas.openxmlformats.org/spreadsheetml/2006/main" count="395" uniqueCount="257">
  <si>
    <t>Revenue</t>
  </si>
  <si>
    <t>-</t>
  </si>
  <si>
    <t>Total Revenue</t>
  </si>
  <si>
    <t>% growth</t>
  </si>
  <si>
    <t>Other Income/(Expense)</t>
  </si>
  <si>
    <t>Interest Income</t>
  </si>
  <si>
    <t>Interest Expense</t>
  </si>
  <si>
    <t>Investment Gains/(Losses)</t>
  </si>
  <si>
    <t xml:space="preserve">Other </t>
  </si>
  <si>
    <t>Net Income</t>
  </si>
  <si>
    <t>EBITDA</t>
  </si>
  <si>
    <t>Goodwill</t>
  </si>
  <si>
    <t xml:space="preserve">  Total Current Liabilities</t>
  </si>
  <si>
    <t>(Gain) Loss From Sale Of Assets</t>
  </si>
  <si>
    <t>(Gain) Loss On Sale Of Invest.</t>
  </si>
  <si>
    <t>Asset Writedown &amp; Restructuring Costs</t>
  </si>
  <si>
    <t>Stock-Based Compensation</t>
  </si>
  <si>
    <t>Other Operating Activities</t>
  </si>
  <si>
    <t>Change in Acc. Receivable</t>
  </si>
  <si>
    <t>Change in Acc. Payable</t>
  </si>
  <si>
    <t>Change in Inc. Taxes</t>
  </si>
  <si>
    <t>Change in Other Net Operating Assets</t>
  </si>
  <si>
    <t xml:space="preserve">  Cash from Operating Activities</t>
  </si>
  <si>
    <t>Capital Expenditure</t>
  </si>
  <si>
    <t>Sale of Property, Plant, and Equipment</t>
  </si>
  <si>
    <t>Cash Acquisitions</t>
  </si>
  <si>
    <t>Divestitures</t>
  </si>
  <si>
    <t>Invest. in Marketable &amp; Equity Securt.</t>
  </si>
  <si>
    <t>Net (Inc.) Dec. in Loans Originated/Sold</t>
  </si>
  <si>
    <t>Other Investing Activities</t>
  </si>
  <si>
    <t xml:space="preserve">  Cash from Investing</t>
  </si>
  <si>
    <t>Short Term Debt Issued</t>
  </si>
  <si>
    <t>Long-Term Debt Issued</t>
  </si>
  <si>
    <t>Total Debt Issued</t>
  </si>
  <si>
    <t>Short Term Debt Repaid</t>
  </si>
  <si>
    <t>Long-Term Debt Repaid</t>
  </si>
  <si>
    <t>Total Debt Repaid</t>
  </si>
  <si>
    <t>Issuance of Common Stock</t>
  </si>
  <si>
    <t>Repurchase of Common Stock</t>
  </si>
  <si>
    <t>Total Dividends Paid</t>
  </si>
  <si>
    <t>Special Dividend Paid</t>
  </si>
  <si>
    <t>Other Financing Activities</t>
  </si>
  <si>
    <t xml:space="preserve">  Cash from Financing</t>
  </si>
  <si>
    <t>Foreign Exchange Rate Adj.</t>
  </si>
  <si>
    <t xml:space="preserve">  Net Change in Cash</t>
  </si>
  <si>
    <t>PayPal Holdings Incorporated</t>
  </si>
  <si>
    <t>Active Case:</t>
  </si>
  <si>
    <t>Base</t>
  </si>
  <si>
    <t>Income Statement ($ in millions)</t>
  </si>
  <si>
    <t>Balance Sheet ($ in millions)</t>
  </si>
  <si>
    <t>Statement of Cash Flows ($ in millions)</t>
  </si>
  <si>
    <t>Metrics &amp; Drivers ($ in millions)</t>
  </si>
  <si>
    <t xml:space="preserve">Bull </t>
  </si>
  <si>
    <t>Bear</t>
  </si>
  <si>
    <t>Bull</t>
  </si>
  <si>
    <t>Depreciation &amp; Amortization (% of Revenue)</t>
  </si>
  <si>
    <t>Sales &amp; Marketing (% of Revenue)</t>
  </si>
  <si>
    <t>Restructuring &amp; Other Charges (% of Revenue)</t>
  </si>
  <si>
    <t>Interest Expense (% of Revenue)</t>
  </si>
  <si>
    <t>Capital Expenditures (% of Revenue)</t>
  </si>
  <si>
    <t>Case</t>
  </si>
  <si>
    <t>Stock Price</t>
  </si>
  <si>
    <t>Discounted Cash Flow Valuation ($ in millions)</t>
  </si>
  <si>
    <t>% Growth</t>
  </si>
  <si>
    <t>% Margin</t>
  </si>
  <si>
    <t>(-) Tax</t>
  </si>
  <si>
    <t>NOPAT</t>
  </si>
  <si>
    <t>WACC</t>
  </si>
  <si>
    <t>Transaction Expense (% of Revenue)</t>
  </si>
  <si>
    <t>Transaction &amp; Credit Losses (% of Revenue)</t>
  </si>
  <si>
    <t>Customer Support &amp; Operations (% of Revenue)</t>
  </si>
  <si>
    <t>Interest Income (% of Revenue)</t>
  </si>
  <si>
    <t>Investment Gains/(Losses) (% of Revenue)</t>
  </si>
  <si>
    <t>Effective Tax Rate</t>
  </si>
  <si>
    <t>CAPM</t>
  </si>
  <si>
    <t>Capital Structure</t>
  </si>
  <si>
    <t>Risk Free Rate</t>
  </si>
  <si>
    <t>Market Risk Premium</t>
  </si>
  <si>
    <t>% Debt</t>
  </si>
  <si>
    <t>Re-Levered Beta</t>
  </si>
  <si>
    <t>% Equity</t>
  </si>
  <si>
    <t>Cost of Equity</t>
  </si>
  <si>
    <t>Debt</t>
  </si>
  <si>
    <t>Cost of Debt</t>
  </si>
  <si>
    <t>Tax Rate</t>
  </si>
  <si>
    <t>Beta Analysis</t>
  </si>
  <si>
    <t>Levered</t>
  </si>
  <si>
    <t>Total Debt/</t>
  </si>
  <si>
    <t>Unlevered</t>
  </si>
  <si>
    <t>Company Name</t>
  </si>
  <si>
    <t>Ticker</t>
  </si>
  <si>
    <t>Beta</t>
  </si>
  <si>
    <t>Total Debt</t>
  </si>
  <si>
    <t>Market Cap</t>
  </si>
  <si>
    <t>Equity</t>
  </si>
  <si>
    <t>Capital</t>
  </si>
  <si>
    <t>Tax Rate*</t>
  </si>
  <si>
    <t>Average</t>
  </si>
  <si>
    <t>Median</t>
  </si>
  <si>
    <t>*Effective Tax Rate has been used</t>
  </si>
  <si>
    <t>Block, Inc.</t>
  </si>
  <si>
    <t>Fiserv, Inc.</t>
  </si>
  <si>
    <t>Global Payments, Inc.</t>
  </si>
  <si>
    <t>Fleetcor Technologies, Inc.</t>
  </si>
  <si>
    <t>Nasdaq:GS: FISV</t>
  </si>
  <si>
    <t>NYSE: SQ</t>
  </si>
  <si>
    <t>NYSE: GPN</t>
  </si>
  <si>
    <t>NYSE: FLT</t>
  </si>
  <si>
    <t>Beta (5 YR)</t>
  </si>
  <si>
    <t>PayPal, Inc.</t>
  </si>
  <si>
    <t>Nasdaq: PYPL</t>
  </si>
  <si>
    <t>PYPL Debt/Equity</t>
  </si>
  <si>
    <t>NWC</t>
  </si>
  <si>
    <t>($ in millions)</t>
  </si>
  <si>
    <t>Total Current Assets</t>
  </si>
  <si>
    <t>Change in NWC</t>
  </si>
  <si>
    <t>Metrics and Drivers</t>
  </si>
  <si>
    <t>COGS</t>
  </si>
  <si>
    <t>Days Sales Outstanding</t>
  </si>
  <si>
    <t>Days Payable Outstanding</t>
  </si>
  <si>
    <t>Days</t>
  </si>
  <si>
    <t>Taxes Payable % of Tax Expense</t>
  </si>
  <si>
    <t>Net revenues</t>
  </si>
  <si>
    <t>Transaction expense</t>
  </si>
  <si>
    <t>Transaction and credit losses</t>
  </si>
  <si>
    <t>Sales and marketing</t>
  </si>
  <si>
    <t>General and administrative</t>
  </si>
  <si>
    <t>Restructuring and other charges</t>
  </si>
  <si>
    <t>Total operating expenses</t>
  </si>
  <si>
    <t>Operating income</t>
  </si>
  <si>
    <t>Other income (expense), net</t>
  </si>
  <si>
    <t>Income before income taxes</t>
  </si>
  <si>
    <t>Income tax (benefit) expense</t>
  </si>
  <si>
    <t>Net income</t>
  </si>
  <si>
    <t>Net income per share:</t>
  </si>
  <si>
    <t>Basic (in dollars per share)</t>
  </si>
  <si>
    <t>Diluted (in dollars per share)</t>
  </si>
  <si>
    <t>Weighted average shares:</t>
  </si>
  <si>
    <t>Basic (in shares)</t>
  </si>
  <si>
    <t>Diluted (in shares)</t>
  </si>
  <si>
    <t>Current assets:</t>
  </si>
  <si>
    <t>Cash and cash equivalents</t>
  </si>
  <si>
    <t>Short-term investments</t>
  </si>
  <si>
    <t>Accounts receivable, net</t>
  </si>
  <si>
    <t>Loans and interest receivable, net of allowances of $491 and $838 as of December 31, 2021 and 2020, respectively</t>
  </si>
  <si>
    <t>Funds receivable and customer accounts</t>
  </si>
  <si>
    <t>Prepaid expenses and other current assets</t>
  </si>
  <si>
    <t>Total current assets</t>
  </si>
  <si>
    <t>Long-term investments</t>
  </si>
  <si>
    <t>Property and equipment, net</t>
  </si>
  <si>
    <t>Intangible assets, net</t>
  </si>
  <si>
    <t>Other assets</t>
  </si>
  <si>
    <t>Total assets</t>
  </si>
  <si>
    <t>Current liabilities:</t>
  </si>
  <si>
    <t>Accounts payable</t>
  </si>
  <si>
    <t>Funds payable and amounts due to customers</t>
  </si>
  <si>
    <t>Accrued expenses and other current liabilities</t>
  </si>
  <si>
    <t>Income taxes payable</t>
  </si>
  <si>
    <t>Total current liabilities</t>
  </si>
  <si>
    <t>Deferred tax liability and other long-term liabilities</t>
  </si>
  <si>
    <t>Long-term debt</t>
  </si>
  <si>
    <t>Total liabilities</t>
  </si>
  <si>
    <t>Equity:</t>
  </si>
  <si>
    <t>Common stock, $0.0001 par value; 4,000 shares authorized; 1,168 and 1,172 shares outstanding as of December 31, 2021 and 2020, respectively</t>
  </si>
  <si>
    <t>Preferred stock, $0.0001 par value; 100 shares authorized, unissued</t>
  </si>
  <si>
    <t>Treasury stock at cost, 132 and 117 shares as of December 31, 2021 and 2020, respectively</t>
  </si>
  <si>
    <t>Additional paid-in-capital</t>
  </si>
  <si>
    <t>Retained earnings</t>
  </si>
  <si>
    <t>Accumulated other comprehensive income (loss)</t>
  </si>
  <si>
    <t>Total PayPal stockholders’ equity</t>
  </si>
  <si>
    <t>Noncontrolling interest</t>
  </si>
  <si>
    <t>Total equity</t>
  </si>
  <si>
    <t>Total liabilities and equity</t>
  </si>
  <si>
    <t>Cost of Goods Sold:</t>
  </si>
  <si>
    <t>Gross Income</t>
  </si>
  <si>
    <t>Operating Expenses:</t>
  </si>
  <si>
    <t>Total COGS</t>
  </si>
  <si>
    <t>Loans and interest recievable as % of revenue</t>
  </si>
  <si>
    <t>Funds recievable and customer accounts as % of revenue</t>
  </si>
  <si>
    <t>Prepaid Expenses as % of revenue</t>
  </si>
  <si>
    <t>Funds Payable and amt due to customer as % of revenue</t>
  </si>
  <si>
    <t>Accrued Expenses as % of COGS</t>
  </si>
  <si>
    <t>Gross Margin</t>
  </si>
  <si>
    <t>Depreciation</t>
  </si>
  <si>
    <t>Technology and development excl. depreciation</t>
  </si>
  <si>
    <t>General &amp; Admin. (% of Revenue)</t>
  </si>
  <si>
    <t>Technology &amp; Development excl. depreciation (% of Revenue)</t>
  </si>
  <si>
    <t>Customer Support/Operations</t>
  </si>
  <si>
    <t>Notes Payable</t>
  </si>
  <si>
    <t>Terminal Value</t>
  </si>
  <si>
    <t>Exit Multiple Method</t>
  </si>
  <si>
    <t>Perpetuity Growth Method</t>
  </si>
  <si>
    <t>2027 EBITDA</t>
  </si>
  <si>
    <t>2027 FCFF</t>
  </si>
  <si>
    <t>Exit Multiple</t>
  </si>
  <si>
    <t>Terminal Growth Rate</t>
  </si>
  <si>
    <t>PV of Terminal Value</t>
  </si>
  <si>
    <t>Enterprise Value</t>
  </si>
  <si>
    <t>PV of Projection Method</t>
  </si>
  <si>
    <t>Implied EV</t>
  </si>
  <si>
    <t>(-) Debt</t>
  </si>
  <si>
    <t>(+) Cash</t>
  </si>
  <si>
    <t>Implied Equity Value</t>
  </si>
  <si>
    <t>Shares Outstanding</t>
  </si>
  <si>
    <t>Implied Share Price</t>
  </si>
  <si>
    <t>Blended Implied Share Price</t>
  </si>
  <si>
    <t>Blended Share Price</t>
  </si>
  <si>
    <t>Upside/Downside</t>
  </si>
  <si>
    <t>Current Share Price</t>
  </si>
  <si>
    <t>% Change</t>
  </si>
  <si>
    <t>($ in millions, except per share amounts)</t>
  </si>
  <si>
    <t>(-) COGS</t>
  </si>
  <si>
    <t>(-) Operating Expenses</t>
  </si>
  <si>
    <t>(-) D&amp;A</t>
  </si>
  <si>
    <t>EBIT</t>
  </si>
  <si>
    <t>(-) Capex</t>
  </si>
  <si>
    <t>(+) D&amp;A</t>
  </si>
  <si>
    <t>(-) Delta NWC</t>
  </si>
  <si>
    <t>UFCF</t>
  </si>
  <si>
    <t xml:space="preserve">(-) Stub-Year </t>
  </si>
  <si>
    <t>FCF For Discounting</t>
  </si>
  <si>
    <t>Growth Rate</t>
  </si>
  <si>
    <t>Period</t>
  </si>
  <si>
    <t>PV of UFCF</t>
  </si>
  <si>
    <t>Memo:</t>
  </si>
  <si>
    <t>Delta NWC % of Revenue</t>
  </si>
  <si>
    <t>Income tax rate</t>
  </si>
  <si>
    <t>check</t>
  </si>
  <si>
    <t>(+) Depreciation &amp; Amort.</t>
  </si>
  <si>
    <t>Revenue Growth</t>
  </si>
  <si>
    <t>Upside</t>
  </si>
  <si>
    <t>To-Be completed, for DCF we are assuming that debt/equity remains constant</t>
  </si>
  <si>
    <t>Matthew Prame &amp; Michael Turza</t>
  </si>
  <si>
    <t>2022A</t>
  </si>
  <si>
    <t>2023P</t>
  </si>
  <si>
    <t>2024P</t>
  </si>
  <si>
    <t>2025P</t>
  </si>
  <si>
    <t>2026P</t>
  </si>
  <si>
    <t>2027P</t>
  </si>
  <si>
    <t>2023E</t>
  </si>
  <si>
    <t>2024E</t>
  </si>
  <si>
    <t>2025E</t>
  </si>
  <si>
    <t>2026E</t>
  </si>
  <si>
    <t>2027E</t>
  </si>
  <si>
    <t>Short term investments as % of average revenue</t>
  </si>
  <si>
    <t xml:space="preserve">PayPal Core Volume </t>
  </si>
  <si>
    <t>Y/Y Growth</t>
  </si>
  <si>
    <t>Total Payment Volume</t>
  </si>
  <si>
    <t>Braintree Core Volume</t>
  </si>
  <si>
    <t>Net Take Rate</t>
  </si>
  <si>
    <t>P2P: Other</t>
  </si>
  <si>
    <t>P2P: Venmo</t>
  </si>
  <si>
    <t>eBay</t>
  </si>
  <si>
    <t>ENXTAM: ADYEN</t>
  </si>
  <si>
    <t>Adyen</t>
  </si>
  <si>
    <t>Other Merchant Services</t>
  </si>
  <si>
    <t>PYPL Revenue 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</si>
</sst>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_)\ ;_(* 0_)"/>
    <numFmt numFmtId="165" formatCode="0&quot;A&quot;"/>
    <numFmt numFmtId="166" formatCode="0.0%"/>
    <numFmt numFmtId="167" formatCode="_(* #,##0_);_(* \(#,##0\)_)\ ;_(* 0_)"/>
    <numFmt numFmtId="168" formatCode="0&quot;P&quot;"/>
    <numFmt numFmtId="169" formatCode="_(* #,##0.0_);_(* \(#,##0.0\);_(* &quot;-&quot;?_);_(@_)"/>
    <numFmt numFmtId="170" formatCode="&quot;$&quot;#,##0.0"/>
    <numFmt numFmtId="171" formatCode="#,##0.00;\(#,##0.00\);\-;_(@_)"/>
    <numFmt numFmtId="172" formatCode="#,##0.0%;\(#,##0.0%\);\-\%;_(@_)"/>
    <numFmt numFmtId="173" formatCode="#,##0;\(#,##0\);\-;_(@_)"/>
    <numFmt numFmtId="174" formatCode="#,##0.0\x_);\(#,##0.0\x\);\ \-\ \-\ "/>
    <numFmt numFmtId="175" formatCode="#,##0.0%_);\(#,##0.0%\)"/>
    <numFmt numFmtId="176" formatCode="#,##0.0\x_);\(#,##0.0\x\)"/>
    <numFmt numFmtId="177" formatCode="_(* #,##0.0_);_(* \(#,##0.0\);_(* &quot;-&quot;??_);_(@_)"/>
    <numFmt numFmtId="178" formatCode="_(* #,##0_);_(* \(#,##0\);_(* &quot;-&quot;??_);_(@_)"/>
    <numFmt numFmtId="179" formatCode="yyyy&quot;A&quot;"/>
    <numFmt numFmtId="180" formatCode="yyyy&quot;E&quot;"/>
    <numFmt numFmtId="181" formatCode="[$$-409]#,##0_);\([$$-409]#,##0\);[$$-409]#,##0_);@_)"/>
    <numFmt numFmtId="182" formatCode="_(* #,##0.0%_);_(* \(#,##0.0%\);_(* &quot;--- %&quot;_);_(* @_%_)"/>
    <numFmt numFmtId="183" formatCode="_(#,##0.0%_);\(#,##0.0%\);_(&quot;–&quot;_)_%;_(@_)_%"/>
    <numFmt numFmtId="184" formatCode="[$$-409]#,##0.0_);\([$$-409]#,##0.0\);[$$-409]#,##0.0_);@_)"/>
    <numFmt numFmtId="185" formatCode="&quot;$&quot;#,##0.0_);\(&quot;$&quot;#,##0.0\);&quot;-&quot;"/>
    <numFmt numFmtId="186" formatCode="#,##0.0_);\(#,##0.0\);&quot;-&quot;"/>
    <numFmt numFmtId="187" formatCode="#,##0.0_);\(#,##0.0\);\ \-\ \-\ ;\ @_)"/>
    <numFmt numFmtId="188" formatCode="#,##0.0\x_);\(#,##0.0\x\);\ \-\ \-\ ;\ @_)"/>
    <numFmt numFmtId="189" formatCode="0.0%_);\(0.0%\);&quot;-&quot;"/>
    <numFmt numFmtId="190" formatCode="&quot;$&quot;#,##0.00_);\(&quot;$&quot;#,##0.00\);\ \-\ \-\ ;\ @_)"/>
    <numFmt numFmtId="191" formatCode="#,##0.00%_);\(#,##0.00%\);\ \-\ \-\ ;\ @_)"/>
    <numFmt numFmtId="192" formatCode="_(&quot;$ &quot;#,##0_);_(&quot;$ &quot;\(#,##0\)"/>
    <numFmt numFmtId="193" formatCode="_(&quot;$ &quot;#,##0.00_);_(&quot;$ &quot;\(#,##0.00\)"/>
    <numFmt numFmtId="194" formatCode="&quot;Base&quot;"/>
    <numFmt numFmtId="195" formatCode="&quot;Bear&quot;"/>
    <numFmt numFmtId="196" formatCode="&quot;Bull&quot;"/>
    <numFmt numFmtId="197" formatCode="0\ &quot;bps&quot;"/>
    <numFmt numFmtId="198" formatCode="_(* #,##0_);_(* \(#,##0\);_(* &quot;-&quot;?_);_(@_)"/>
    <numFmt numFmtId="205" formatCode="&quot;$&quot;0.00"/>
  </numFmts>
  <fonts count="6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 val="double"/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Garamond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8"/>
      <name val="Garamond"/>
      <family val="1"/>
    </font>
    <font>
      <b/>
      <sz val="8"/>
      <color theme="0"/>
      <name val="Garamond"/>
      <family val="1"/>
    </font>
    <font>
      <b/>
      <sz val="8"/>
      <color theme="1"/>
      <name val="Garamond"/>
      <family val="1"/>
    </font>
    <font>
      <b/>
      <sz val="8"/>
      <name val="Garamond"/>
      <family val="1"/>
    </font>
    <font>
      <b/>
      <i/>
      <sz val="8"/>
      <name val="Garamond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11"/>
      <name val="Garamond"/>
      <family val="1"/>
    </font>
    <font>
      <sz val="11"/>
      <color theme="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i/>
      <sz val="11"/>
      <color rgb="FF000000"/>
      <name val="Garamond"/>
      <family val="1"/>
    </font>
    <font>
      <sz val="11"/>
      <color rgb="FFFFFFFF"/>
      <name val="Garamond"/>
      <family val="1"/>
    </font>
    <font>
      <b/>
      <sz val="11"/>
      <color theme="0"/>
      <name val="Garamond"/>
      <family val="1"/>
    </font>
    <font>
      <i/>
      <sz val="9"/>
      <color theme="1"/>
      <name val="Garamond"/>
      <family val="1"/>
    </font>
    <font>
      <b/>
      <sz val="11"/>
      <color rgb="FF000000"/>
      <name val="Garamond"/>
      <family val="1"/>
    </font>
    <font>
      <b/>
      <u/>
      <sz val="11"/>
      <color rgb="FF000000"/>
      <name val="Garamond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FF"/>
      <name val="Garamond"/>
      <family val="1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sz val="11"/>
      <color theme="4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rgb="FF002060"/>
        <bgColor rgb="FF5B9BD5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tted">
        <color theme="4"/>
      </left>
      <right style="thin">
        <color indexed="64"/>
      </right>
      <top style="dotted">
        <color theme="4"/>
      </top>
      <bottom style="dotted">
        <color theme="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 applyFill="0" applyBorder="0" applyProtection="0">
      <protection locked="0"/>
    </xf>
    <xf numFmtId="182" fontId="30" fillId="0" borderId="0" applyFont="0" applyFill="0" applyBorder="0" applyAlignment="0" applyProtection="0">
      <alignment horizontal="right"/>
    </xf>
    <xf numFmtId="0" fontId="2" fillId="0" borderId="0"/>
    <xf numFmtId="0" fontId="19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02">
    <xf numFmtId="0" fontId="0" fillId="0" borderId="0" xfId="0"/>
    <xf numFmtId="0" fontId="4" fillId="2" borderId="0" xfId="0" applyFont="1" applyFill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165" fontId="8" fillId="3" borderId="0" xfId="0" applyNumberFormat="1" applyFont="1" applyFill="1" applyAlignment="1">
      <alignment horizontal="right" wrapText="1"/>
    </xf>
    <xf numFmtId="0" fontId="9" fillId="0" borderId="0" xfId="0" applyFont="1"/>
    <xf numFmtId="164" fontId="5" fillId="0" borderId="0" xfId="0" applyNumberFormat="1" applyFont="1" applyAlignment="1">
      <alignment horizontal="right" wrapText="1"/>
    </xf>
    <xf numFmtId="0" fontId="5" fillId="0" borderId="0" xfId="0" applyFont="1"/>
    <xf numFmtId="164" fontId="6" fillId="0" borderId="4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/>
    </xf>
    <xf numFmtId="168" fontId="10" fillId="0" borderId="0" xfId="0" applyNumberFormat="1" applyFont="1"/>
    <xf numFmtId="164" fontId="5" fillId="0" borderId="5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14" fontId="8" fillId="3" borderId="4" xfId="0" applyNumberFormat="1" applyFont="1" applyFill="1" applyBorder="1" applyAlignment="1">
      <alignment horizontal="right" wrapText="1"/>
    </xf>
    <xf numFmtId="0" fontId="0" fillId="4" borderId="0" xfId="0" applyFill="1"/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10" fillId="0" borderId="0" xfId="0" applyFont="1"/>
    <xf numFmtId="10" fontId="0" fillId="0" borderId="0" xfId="1" applyNumberFormat="1" applyFont="1"/>
    <xf numFmtId="0" fontId="14" fillId="0" borderId="0" xfId="0" applyFont="1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/>
    <xf numFmtId="10" fontId="0" fillId="0" borderId="0" xfId="0" applyNumberFormat="1"/>
    <xf numFmtId="0" fontId="21" fillId="0" borderId="0" xfId="0" applyFont="1"/>
    <xf numFmtId="0" fontId="22" fillId="0" borderId="10" xfId="0" applyFont="1" applyBorder="1" applyAlignment="1">
      <alignment vertical="center"/>
    </xf>
    <xf numFmtId="166" fontId="22" fillId="0" borderId="11" xfId="0" applyNumberFormat="1" applyFont="1" applyBorder="1" applyAlignment="1">
      <alignment vertical="center"/>
    </xf>
    <xf numFmtId="0" fontId="21" fillId="0" borderId="9" xfId="0" applyFont="1" applyBorder="1"/>
    <xf numFmtId="166" fontId="22" fillId="0" borderId="11" xfId="1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10" fontId="23" fillId="0" borderId="0" xfId="0" applyNumberFormat="1" applyFont="1"/>
    <xf numFmtId="166" fontId="22" fillId="0" borderId="8" xfId="1" applyNumberFormat="1" applyFont="1" applyBorder="1" applyAlignment="1">
      <alignment vertical="center"/>
    </xf>
    <xf numFmtId="171" fontId="23" fillId="3" borderId="8" xfId="0" applyNumberFormat="1" applyFont="1" applyFill="1" applyBorder="1" applyAlignment="1">
      <alignment vertical="center"/>
    </xf>
    <xf numFmtId="171" fontId="23" fillId="0" borderId="0" xfId="0" applyNumberFormat="1" applyFont="1"/>
    <xf numFmtId="0" fontId="23" fillId="0" borderId="12" xfId="0" applyFont="1" applyBorder="1" applyAlignment="1">
      <alignment vertical="center"/>
    </xf>
    <xf numFmtId="10" fontId="23" fillId="0" borderId="13" xfId="0" applyNumberFormat="1" applyFont="1" applyBorder="1"/>
    <xf numFmtId="166" fontId="22" fillId="0" borderId="14" xfId="1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166" fontId="23" fillId="0" borderId="14" xfId="1" applyNumberFormat="1" applyFont="1" applyBorder="1" applyAlignment="1">
      <alignment vertical="center"/>
    </xf>
    <xf numFmtId="0" fontId="22" fillId="0" borderId="0" xfId="0" applyFont="1"/>
    <xf numFmtId="170" fontId="23" fillId="0" borderId="0" xfId="0" applyNumberFormat="1" applyFont="1"/>
    <xf numFmtId="0" fontId="21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10" fontId="25" fillId="0" borderId="14" xfId="1" applyNumberFormat="1" applyFont="1" applyBorder="1" applyAlignment="1">
      <alignment vertical="center"/>
    </xf>
    <xf numFmtId="0" fontId="27" fillId="0" borderId="0" xfId="4" applyFont="1"/>
    <xf numFmtId="0" fontId="26" fillId="0" borderId="0" xfId="4" applyFont="1"/>
    <xf numFmtId="0" fontId="27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26" fillId="0" borderId="13" xfId="4" applyFont="1" applyBorder="1"/>
    <xf numFmtId="0" fontId="23" fillId="0" borderId="13" xfId="4" applyFont="1" applyBorder="1"/>
    <xf numFmtId="0" fontId="26" fillId="0" borderId="13" xfId="4" applyFont="1" applyBorder="1" applyAlignment="1">
      <alignment horizontal="center"/>
    </xf>
    <xf numFmtId="0" fontId="23" fillId="0" borderId="0" xfId="4" applyFont="1"/>
    <xf numFmtId="171" fontId="23" fillId="0" borderId="0" xfId="4" applyNumberFormat="1" applyFont="1" applyAlignment="1">
      <alignment horizontal="right"/>
    </xf>
    <xf numFmtId="173" fontId="23" fillId="0" borderId="0" xfId="4" applyNumberFormat="1" applyFont="1" applyAlignment="1">
      <alignment horizontal="right"/>
    </xf>
    <xf numFmtId="174" fontId="23" fillId="0" borderId="9" xfId="4" applyNumberFormat="1" applyFont="1" applyBorder="1" applyAlignment="1">
      <alignment horizontal="right"/>
    </xf>
    <xf numFmtId="172" fontId="23" fillId="0" borderId="9" xfId="4" applyNumberFormat="1" applyFont="1" applyBorder="1" applyAlignment="1">
      <alignment horizontal="right"/>
    </xf>
    <xf numFmtId="39" fontId="23" fillId="0" borderId="9" xfId="4" applyNumberFormat="1" applyFont="1" applyBorder="1" applyAlignment="1">
      <alignment horizontal="right"/>
    </xf>
    <xf numFmtId="174" fontId="23" fillId="0" borderId="0" xfId="4" applyNumberFormat="1" applyFont="1" applyAlignment="1">
      <alignment horizontal="right"/>
    </xf>
    <xf numFmtId="172" fontId="23" fillId="0" borderId="0" xfId="4" applyNumberFormat="1" applyFont="1" applyAlignment="1">
      <alignment horizontal="right"/>
    </xf>
    <xf numFmtId="39" fontId="23" fillId="0" borderId="0" xfId="4" applyNumberFormat="1" applyFont="1" applyAlignment="1">
      <alignment horizontal="right"/>
    </xf>
    <xf numFmtId="0" fontId="26" fillId="5" borderId="15" xfId="4" applyFont="1" applyFill="1" applyBorder="1"/>
    <xf numFmtId="0" fontId="26" fillId="5" borderId="16" xfId="4" applyFont="1" applyFill="1" applyBorder="1"/>
    <xf numFmtId="175" fontId="26" fillId="5" borderId="16" xfId="4" applyNumberFormat="1" applyFont="1" applyFill="1" applyBorder="1"/>
    <xf numFmtId="171" fontId="26" fillId="5" borderId="16" xfId="4" applyNumberFormat="1" applyFont="1" applyFill="1" applyBorder="1"/>
    <xf numFmtId="173" fontId="26" fillId="5" borderId="16" xfId="4" applyNumberFormat="1" applyFont="1" applyFill="1" applyBorder="1"/>
    <xf numFmtId="176" fontId="26" fillId="5" borderId="16" xfId="4" applyNumberFormat="1" applyFont="1" applyFill="1" applyBorder="1"/>
    <xf numFmtId="172" fontId="26" fillId="5" borderId="16" xfId="4" applyNumberFormat="1" applyFont="1" applyFill="1" applyBorder="1"/>
    <xf numFmtId="0" fontId="26" fillId="5" borderId="17" xfId="4" applyFont="1" applyFill="1" applyBorder="1"/>
    <xf numFmtId="0" fontId="26" fillId="5" borderId="18" xfId="4" applyFont="1" applyFill="1" applyBorder="1"/>
    <xf numFmtId="175" fontId="26" fillId="5" borderId="18" xfId="4" applyNumberFormat="1" applyFont="1" applyFill="1" applyBorder="1"/>
    <xf numFmtId="171" fontId="26" fillId="5" borderId="18" xfId="4" applyNumberFormat="1" applyFont="1" applyFill="1" applyBorder="1"/>
    <xf numFmtId="173" fontId="26" fillId="5" borderId="18" xfId="4" applyNumberFormat="1" applyFont="1" applyFill="1" applyBorder="1"/>
    <xf numFmtId="176" fontId="26" fillId="5" borderId="18" xfId="4" applyNumberFormat="1" applyFont="1" applyFill="1" applyBorder="1"/>
    <xf numFmtId="172" fontId="26" fillId="5" borderId="18" xfId="4" applyNumberFormat="1" applyFont="1" applyFill="1" applyBorder="1"/>
    <xf numFmtId="0" fontId="38" fillId="0" borderId="0" xfId="0" applyFont="1" applyAlignment="1">
      <alignment horizontal="right"/>
    </xf>
    <xf numFmtId="180" fontId="39" fillId="12" borderId="0" xfId="0" applyNumberFormat="1" applyFont="1" applyFill="1"/>
    <xf numFmtId="186" fontId="35" fillId="0" borderId="0" xfId="5" applyNumberFormat="1" applyFont="1" applyFill="1" applyBorder="1"/>
    <xf numFmtId="0" fontId="35" fillId="12" borderId="0" xfId="0" applyFont="1" applyFill="1"/>
    <xf numFmtId="179" fontId="39" fillId="12" borderId="0" xfId="0" applyNumberFormat="1" applyFont="1" applyFill="1"/>
    <xf numFmtId="0" fontId="35" fillId="0" borderId="0" xfId="0" applyFont="1"/>
    <xf numFmtId="166" fontId="2" fillId="0" borderId="0" xfId="9" applyNumberFormat="1" applyFont="1"/>
    <xf numFmtId="182" fontId="21" fillId="0" borderId="0" xfId="9" applyNumberFormat="1" applyFont="1"/>
    <xf numFmtId="178" fontId="36" fillId="0" borderId="0" xfId="7" applyNumberFormat="1" applyFont="1"/>
    <xf numFmtId="177" fontId="21" fillId="0" borderId="0" xfId="8" applyNumberFormat="1" applyFont="1" applyBorder="1"/>
    <xf numFmtId="43" fontId="36" fillId="6" borderId="32" xfId="8" applyNumberFormat="1" applyFont="1" applyFill="1" applyBorder="1"/>
    <xf numFmtId="182" fontId="21" fillId="6" borderId="33" xfId="9" applyNumberFormat="1" applyFont="1" applyFill="1" applyBorder="1"/>
    <xf numFmtId="44" fontId="21" fillId="0" borderId="0" xfId="8" applyFont="1" applyBorder="1" applyAlignment="1">
      <alignment wrapText="1"/>
    </xf>
    <xf numFmtId="0" fontId="42" fillId="11" borderId="0" xfId="0" applyFont="1" applyFill="1"/>
    <xf numFmtId="185" fontId="42" fillId="11" borderId="0" xfId="5" applyNumberFormat="1" applyFont="1" applyFill="1" applyBorder="1"/>
    <xf numFmtId="185" fontId="35" fillId="0" borderId="0" xfId="0" applyNumberFormat="1" applyFont="1"/>
    <xf numFmtId="0" fontId="42" fillId="11" borderId="2" xfId="10" applyFont="1" applyFill="1" applyBorder="1" applyAlignment="1">
      <alignment horizontal="left" vertical="top"/>
    </xf>
    <xf numFmtId="185" fontId="42" fillId="11" borderId="2" xfId="5" applyNumberFormat="1" applyFont="1" applyFill="1" applyBorder="1"/>
    <xf numFmtId="0" fontId="42" fillId="0" borderId="0" xfId="0" applyFont="1"/>
    <xf numFmtId="186" fontId="42" fillId="0" borderId="0" xfId="5" applyNumberFormat="1" applyFont="1" applyFill="1" applyBorder="1"/>
    <xf numFmtId="0" fontId="35" fillId="0" borderId="13" xfId="0" applyFont="1" applyBorder="1"/>
    <xf numFmtId="186" fontId="35" fillId="0" borderId="13" xfId="5" applyNumberFormat="1" applyFont="1" applyFill="1" applyBorder="1"/>
    <xf numFmtId="0" fontId="42" fillId="11" borderId="0" xfId="0" applyFont="1" applyFill="1" applyAlignment="1">
      <alignment horizontal="left" indent="1"/>
    </xf>
    <xf numFmtId="178" fontId="35" fillId="0" borderId="0" xfId="5" applyNumberFormat="1" applyFont="1" applyFill="1" applyBorder="1"/>
    <xf numFmtId="178" fontId="35" fillId="0" borderId="8" xfId="5" applyNumberFormat="1" applyFont="1" applyFill="1" applyBorder="1"/>
    <xf numFmtId="0" fontId="43" fillId="0" borderId="0" xfId="0" applyFont="1"/>
    <xf numFmtId="166" fontId="35" fillId="0" borderId="0" xfId="1" applyNumberFormat="1" applyFont="1" applyFill="1" applyBorder="1"/>
    <xf numFmtId="166" fontId="35" fillId="0" borderId="8" xfId="1" applyNumberFormat="1" applyFont="1" applyFill="1" applyBorder="1"/>
    <xf numFmtId="0" fontId="44" fillId="0" borderId="0" xfId="0" applyFont="1" applyAlignment="1">
      <alignment vertical="top" wrapText="1"/>
    </xf>
    <xf numFmtId="192" fontId="44" fillId="0" borderId="0" xfId="0" applyNumberFormat="1" applyFont="1" applyAlignment="1">
      <alignment horizontal="right" vertical="top"/>
    </xf>
    <xf numFmtId="0" fontId="45" fillId="0" borderId="0" xfId="0" applyFont="1" applyAlignment="1">
      <alignment vertical="top" wrapText="1"/>
    </xf>
    <xf numFmtId="37" fontId="44" fillId="0" borderId="0" xfId="0" applyNumberFormat="1" applyFont="1" applyAlignment="1">
      <alignment horizontal="right" vertical="top"/>
    </xf>
    <xf numFmtId="193" fontId="44" fillId="0" borderId="0" xfId="0" applyNumberFormat="1" applyFont="1" applyAlignment="1">
      <alignment horizontal="right" vertical="top"/>
    </xf>
    <xf numFmtId="37" fontId="45" fillId="0" borderId="0" xfId="0" applyNumberFormat="1" applyFont="1" applyAlignment="1">
      <alignment horizontal="right" vertical="top"/>
    </xf>
    <xf numFmtId="37" fontId="45" fillId="0" borderId="3" xfId="0" applyNumberFormat="1" applyFont="1" applyBorder="1" applyAlignment="1">
      <alignment horizontal="right" vertical="top"/>
    </xf>
    <xf numFmtId="10" fontId="35" fillId="0" borderId="0" xfId="5" applyNumberFormat="1" applyFont="1" applyFill="1" applyBorder="1"/>
    <xf numFmtId="10" fontId="35" fillId="0" borderId="8" xfId="5" applyNumberFormat="1" applyFont="1" applyFill="1" applyBorder="1"/>
    <xf numFmtId="0" fontId="47" fillId="0" borderId="0" xfId="0" applyFont="1" applyAlignment="1">
      <alignment vertical="top" wrapText="1"/>
    </xf>
    <xf numFmtId="0" fontId="2" fillId="0" borderId="0" xfId="0" applyFont="1"/>
    <xf numFmtId="2" fontId="2" fillId="0" borderId="0" xfId="0" applyNumberFormat="1" applyFont="1"/>
    <xf numFmtId="178" fontId="28" fillId="0" borderId="3" xfId="0" applyNumberFormat="1" applyFont="1" applyBorder="1"/>
    <xf numFmtId="178" fontId="28" fillId="0" borderId="0" xfId="0" applyNumberFormat="1" applyFont="1"/>
    <xf numFmtId="41" fontId="44" fillId="0" borderId="0" xfId="0" applyNumberFormat="1" applyFont="1" applyAlignment="1">
      <alignment horizontal="right" vertical="top"/>
    </xf>
    <xf numFmtId="9" fontId="44" fillId="0" borderId="0" xfId="1" applyFont="1" applyAlignment="1">
      <alignment horizontal="right" vertical="top"/>
    </xf>
    <xf numFmtId="37" fontId="29" fillId="0" borderId="0" xfId="0" applyNumberFormat="1" applyFont="1" applyAlignment="1">
      <alignment horizontal="right" vertical="top"/>
    </xf>
    <xf numFmtId="167" fontId="49" fillId="0" borderId="0" xfId="0" applyNumberFormat="1" applyFont="1" applyAlignment="1">
      <alignment horizontal="left" vertical="top"/>
    </xf>
    <xf numFmtId="37" fontId="50" fillId="0" borderId="3" xfId="0" applyNumberFormat="1" applyFont="1" applyBorder="1" applyAlignment="1">
      <alignment horizontal="right" vertical="top"/>
    </xf>
    <xf numFmtId="37" fontId="50" fillId="0" borderId="0" xfId="0" applyNumberFormat="1" applyFont="1" applyAlignment="1">
      <alignment horizontal="right" vertical="top"/>
    </xf>
    <xf numFmtId="167" fontId="49" fillId="0" borderId="0" xfId="0" applyNumberFormat="1" applyFont="1" applyAlignment="1">
      <alignment horizontal="right" vertical="top" wrapText="1"/>
    </xf>
    <xf numFmtId="192" fontId="50" fillId="0" borderId="2" xfId="0" applyNumberFormat="1" applyFont="1" applyBorder="1" applyAlignment="1">
      <alignment horizontal="right" vertical="top"/>
    </xf>
    <xf numFmtId="192" fontId="50" fillId="0" borderId="0" xfId="0" applyNumberFormat="1" applyFont="1" applyAlignment="1">
      <alignment horizontal="right" vertical="top"/>
    </xf>
    <xf numFmtId="193" fontId="29" fillId="0" borderId="0" xfId="0" applyNumberFormat="1" applyFont="1" applyAlignment="1">
      <alignment horizontal="right" vertical="top"/>
    </xf>
    <xf numFmtId="167" fontId="28" fillId="0" borderId="2" xfId="0" applyNumberFormat="1" applyFont="1" applyBorder="1"/>
    <xf numFmtId="0" fontId="28" fillId="0" borderId="0" xfId="0" applyFont="1"/>
    <xf numFmtId="0" fontId="45" fillId="0" borderId="3" xfId="0" applyFont="1" applyBorder="1" applyAlignment="1">
      <alignment vertical="top" wrapText="1"/>
    </xf>
    <xf numFmtId="37" fontId="45" fillId="0" borderId="35" xfId="0" applyNumberFormat="1" applyFont="1" applyBorder="1" applyAlignment="1">
      <alignment horizontal="right" vertical="top"/>
    </xf>
    <xf numFmtId="167" fontId="0" fillId="0" borderId="0" xfId="0" applyNumberFormat="1"/>
    <xf numFmtId="41" fontId="0" fillId="0" borderId="0" xfId="0" applyNumberFormat="1"/>
    <xf numFmtId="41" fontId="45" fillId="0" borderId="2" xfId="0" applyNumberFormat="1" applyFont="1" applyBorder="1" applyAlignment="1">
      <alignment horizontal="right" vertical="top"/>
    </xf>
    <xf numFmtId="41" fontId="0" fillId="0" borderId="2" xfId="0" applyNumberFormat="1" applyBorder="1"/>
    <xf numFmtId="41" fontId="15" fillId="0" borderId="2" xfId="0" applyNumberFormat="1" applyFont="1" applyBorder="1"/>
    <xf numFmtId="41" fontId="44" fillId="0" borderId="0" xfId="0" applyNumberFormat="1" applyFont="1" applyAlignment="1">
      <alignment vertical="top" wrapText="1"/>
    </xf>
    <xf numFmtId="41" fontId="46" fillId="0" borderId="0" xfId="0" applyNumberFormat="1" applyFont="1" applyAlignment="1">
      <alignment horizontal="right" vertical="top"/>
    </xf>
    <xf numFmtId="41" fontId="45" fillId="0" borderId="2" xfId="0" applyNumberFormat="1" applyFont="1" applyBorder="1" applyAlignment="1">
      <alignment vertical="top" wrapText="1"/>
    </xf>
    <xf numFmtId="41" fontId="28" fillId="0" borderId="2" xfId="0" applyNumberFormat="1" applyFont="1" applyBorder="1"/>
    <xf numFmtId="41" fontId="44" fillId="0" borderId="8" xfId="0" applyNumberFormat="1" applyFont="1" applyBorder="1" applyAlignment="1">
      <alignment horizontal="right" vertical="top"/>
    </xf>
    <xf numFmtId="41" fontId="44" fillId="0" borderId="13" xfId="0" applyNumberFormat="1" applyFont="1" applyBorder="1" applyAlignment="1">
      <alignment vertical="top" wrapText="1"/>
    </xf>
    <xf numFmtId="41" fontId="44" fillId="0" borderId="13" xfId="0" applyNumberFormat="1" applyFont="1" applyBorder="1" applyAlignment="1">
      <alignment horizontal="right" vertical="top"/>
    </xf>
    <xf numFmtId="41" fontId="45" fillId="0" borderId="0" xfId="0" applyNumberFormat="1" applyFont="1" applyAlignment="1">
      <alignment vertical="top" wrapText="1"/>
    </xf>
    <xf numFmtId="0" fontId="40" fillId="9" borderId="19" xfId="0" applyFont="1" applyFill="1" applyBorder="1"/>
    <xf numFmtId="0" fontId="21" fillId="9" borderId="20" xfId="0" applyFont="1" applyFill="1" applyBorder="1"/>
    <xf numFmtId="0" fontId="21" fillId="9" borderId="21" xfId="0" applyFont="1" applyFill="1" applyBorder="1"/>
    <xf numFmtId="0" fontId="21" fillId="0" borderId="25" xfId="0" applyFont="1" applyBorder="1"/>
    <xf numFmtId="0" fontId="21" fillId="0" borderId="26" xfId="0" applyFont="1" applyBorder="1"/>
    <xf numFmtId="187" fontId="21" fillId="0" borderId="27" xfId="0" applyNumberFormat="1" applyFont="1" applyBorder="1" applyAlignment="1">
      <alignment wrapText="1"/>
    </xf>
    <xf numFmtId="0" fontId="21" fillId="0" borderId="28" xfId="0" applyFont="1" applyBorder="1"/>
    <xf numFmtId="0" fontId="21" fillId="0" borderId="22" xfId="0" applyFont="1" applyBorder="1"/>
    <xf numFmtId="0" fontId="21" fillId="0" borderId="23" xfId="0" applyFont="1" applyBorder="1"/>
    <xf numFmtId="187" fontId="21" fillId="0" borderId="24" xfId="0" applyNumberFormat="1" applyFont="1" applyBorder="1" applyAlignment="1">
      <alignment wrapText="1"/>
    </xf>
    <xf numFmtId="0" fontId="36" fillId="0" borderId="22" xfId="0" applyFont="1" applyBorder="1"/>
    <xf numFmtId="0" fontId="36" fillId="0" borderId="23" xfId="0" applyFont="1" applyBorder="1"/>
    <xf numFmtId="187" fontId="36" fillId="0" borderId="24" xfId="0" applyNumberFormat="1" applyFont="1" applyBorder="1" applyAlignment="1">
      <alignment wrapText="1"/>
    </xf>
    <xf numFmtId="0" fontId="36" fillId="0" borderId="19" xfId="0" applyFont="1" applyBorder="1"/>
    <xf numFmtId="0" fontId="21" fillId="0" borderId="20" xfId="0" applyFont="1" applyBorder="1"/>
    <xf numFmtId="187" fontId="36" fillId="0" borderId="21" xfId="0" applyNumberFormat="1" applyFont="1" applyBorder="1" applyAlignment="1">
      <alignment wrapText="1"/>
    </xf>
    <xf numFmtId="187" fontId="21" fillId="0" borderId="29" xfId="0" applyNumberFormat="1" applyFont="1" applyBorder="1" applyAlignment="1">
      <alignment wrapText="1"/>
    </xf>
    <xf numFmtId="0" fontId="40" fillId="7" borderId="34" xfId="0" applyFont="1" applyFill="1" applyBorder="1"/>
    <xf numFmtId="0" fontId="40" fillId="7" borderId="3" xfId="0" applyFont="1" applyFill="1" applyBorder="1"/>
    <xf numFmtId="0" fontId="21" fillId="7" borderId="3" xfId="0" applyFont="1" applyFill="1" applyBorder="1"/>
    <xf numFmtId="0" fontId="21" fillId="7" borderId="35" xfId="0" applyFont="1" applyFill="1" applyBorder="1"/>
    <xf numFmtId="0" fontId="21" fillId="0" borderId="7" xfId="0" applyFont="1" applyBorder="1"/>
    <xf numFmtId="169" fontId="21" fillId="0" borderId="0" xfId="0" applyNumberFormat="1" applyFont="1"/>
    <xf numFmtId="190" fontId="21" fillId="0" borderId="8" xfId="0" applyNumberFormat="1" applyFont="1" applyBorder="1" applyAlignment="1">
      <alignment wrapText="1"/>
    </xf>
    <xf numFmtId="0" fontId="36" fillId="6" borderId="31" xfId="0" applyFont="1" applyFill="1" applyBorder="1"/>
    <xf numFmtId="0" fontId="21" fillId="6" borderId="32" xfId="0" applyFont="1" applyFill="1" applyBorder="1"/>
    <xf numFmtId="190" fontId="21" fillId="6" borderId="33" xfId="0" applyNumberFormat="1" applyFont="1" applyFill="1" applyBorder="1" applyAlignment="1">
      <alignment wrapText="1"/>
    </xf>
    <xf numFmtId="0" fontId="41" fillId="0" borderId="0" xfId="0" applyFont="1" applyAlignment="1">
      <alignment horizontal="left" indent="1"/>
    </xf>
    <xf numFmtId="0" fontId="36" fillId="0" borderId="0" xfId="0" applyFont="1"/>
    <xf numFmtId="0" fontId="37" fillId="0" borderId="0" xfId="0" applyFont="1"/>
    <xf numFmtId="0" fontId="51" fillId="7" borderId="0" xfId="10" applyFont="1" applyFill="1"/>
    <xf numFmtId="179" fontId="52" fillId="7" borderId="0" xfId="0" applyNumberFormat="1" applyFont="1" applyFill="1"/>
    <xf numFmtId="180" fontId="52" fillId="7" borderId="0" xfId="0" applyNumberFormat="1" applyFont="1" applyFill="1"/>
    <xf numFmtId="0" fontId="28" fillId="6" borderId="0" xfId="0" applyFont="1" applyFill="1"/>
    <xf numFmtId="166" fontId="2" fillId="0" borderId="8" xfId="9" applyNumberFormat="1" applyFont="1" applyBorder="1"/>
    <xf numFmtId="177" fontId="2" fillId="0" borderId="0" xfId="7" applyNumberFormat="1" applyFont="1"/>
    <xf numFmtId="177" fontId="28" fillId="6" borderId="0" xfId="7" applyNumberFormat="1" applyFont="1" applyFill="1"/>
    <xf numFmtId="177" fontId="28" fillId="6" borderId="8" xfId="7" applyNumberFormat="1" applyFont="1" applyFill="1" applyBorder="1"/>
    <xf numFmtId="0" fontId="48" fillId="0" borderId="0" xfId="0" applyFont="1"/>
    <xf numFmtId="185" fontId="28" fillId="6" borderId="0" xfId="7" applyNumberFormat="1" applyFont="1" applyFill="1"/>
    <xf numFmtId="185" fontId="28" fillId="6" borderId="8" xfId="7" applyNumberFormat="1" applyFont="1" applyFill="1" applyBorder="1"/>
    <xf numFmtId="0" fontId="2" fillId="3" borderId="0" xfId="0" applyFont="1" applyFill="1"/>
    <xf numFmtId="185" fontId="28" fillId="3" borderId="0" xfId="7" applyNumberFormat="1" applyFont="1" applyFill="1"/>
    <xf numFmtId="178" fontId="2" fillId="0" borderId="0" xfId="7" applyNumberFormat="1" applyFont="1"/>
    <xf numFmtId="182" fontId="2" fillId="0" borderId="0" xfId="9" applyNumberFormat="1" applyFont="1"/>
    <xf numFmtId="182" fontId="2" fillId="10" borderId="0" xfId="9" applyNumberFormat="1" applyFont="1" applyFill="1"/>
    <xf numFmtId="182" fontId="2" fillId="0" borderId="8" xfId="9" applyNumberFormat="1" applyFont="1" applyBorder="1"/>
    <xf numFmtId="0" fontId="2" fillId="0" borderId="8" xfId="0" applyFont="1" applyBorder="1"/>
    <xf numFmtId="1" fontId="28" fillId="0" borderId="0" xfId="7" applyNumberFormat="1" applyFont="1"/>
    <xf numFmtId="1" fontId="28" fillId="0" borderId="0" xfId="0" applyNumberFormat="1" applyFont="1"/>
    <xf numFmtId="185" fontId="28" fillId="0" borderId="0" xfId="7" applyNumberFormat="1" applyFont="1"/>
    <xf numFmtId="0" fontId="54" fillId="0" borderId="13" xfId="0" applyFont="1" applyBorder="1"/>
    <xf numFmtId="178" fontId="2" fillId="0" borderId="13" xfId="7" applyNumberFormat="1" applyFont="1" applyBorder="1"/>
    <xf numFmtId="0" fontId="2" fillId="0" borderId="13" xfId="0" applyFont="1" applyBorder="1"/>
    <xf numFmtId="0" fontId="2" fillId="0" borderId="14" xfId="0" applyFont="1" applyBorder="1"/>
    <xf numFmtId="181" fontId="2" fillId="0" borderId="0" xfId="0" applyNumberFormat="1" applyFont="1"/>
    <xf numFmtId="183" fontId="2" fillId="0" borderId="0" xfId="9" applyNumberFormat="1" applyFont="1"/>
    <xf numFmtId="183" fontId="2" fillId="0" borderId="8" xfId="9" applyNumberFormat="1" applyFont="1" applyBorder="1"/>
    <xf numFmtId="185" fontId="2" fillId="0" borderId="0" xfId="0" applyNumberFormat="1" applyFont="1"/>
    <xf numFmtId="41" fontId="45" fillId="0" borderId="0" xfId="0" applyNumberFormat="1" applyFont="1" applyAlignment="1">
      <alignment horizontal="right" vertical="top"/>
    </xf>
    <xf numFmtId="41" fontId="45" fillId="0" borderId="3" xfId="0" applyNumberFormat="1" applyFont="1" applyBorder="1" applyAlignment="1">
      <alignment horizontal="right" vertical="top"/>
    </xf>
    <xf numFmtId="14" fontId="32" fillId="3" borderId="0" xfId="0" applyNumberFormat="1" applyFont="1" applyFill="1"/>
    <xf numFmtId="177" fontId="2" fillId="3" borderId="0" xfId="7" applyNumberFormat="1" applyFont="1" applyFill="1"/>
    <xf numFmtId="167" fontId="53" fillId="6" borderId="1" xfId="0" applyNumberFormat="1" applyFont="1" applyFill="1" applyBorder="1" applyAlignment="1">
      <alignment horizontal="right" vertical="top" wrapText="1"/>
    </xf>
    <xf numFmtId="41" fontId="50" fillId="6" borderId="0" xfId="0" applyNumberFormat="1" applyFont="1" applyFill="1" applyAlignment="1">
      <alignment horizontal="right" vertical="top"/>
    </xf>
    <xf numFmtId="167" fontId="28" fillId="0" borderId="9" xfId="0" applyNumberFormat="1" applyFont="1" applyBorder="1"/>
    <xf numFmtId="192" fontId="50" fillId="0" borderId="11" xfId="0" applyNumberFormat="1" applyFont="1" applyBorder="1" applyAlignment="1">
      <alignment horizontal="right" vertical="top"/>
    </xf>
    <xf numFmtId="183" fontId="55" fillId="13" borderId="6" xfId="0" applyNumberFormat="1" applyFont="1" applyFill="1" applyBorder="1"/>
    <xf numFmtId="0" fontId="0" fillId="3" borderId="0" xfId="0" applyFill="1"/>
    <xf numFmtId="194" fontId="56" fillId="3" borderId="0" xfId="0" applyNumberFormat="1" applyFont="1" applyFill="1"/>
    <xf numFmtId="166" fontId="37" fillId="0" borderId="0" xfId="1" applyNumberFormat="1" applyFont="1"/>
    <xf numFmtId="0" fontId="12" fillId="4" borderId="0" xfId="0" applyFont="1" applyFill="1" applyAlignment="1">
      <alignment horizontal="right"/>
    </xf>
    <xf numFmtId="0" fontId="0" fillId="0" borderId="6" xfId="0" applyBorder="1"/>
    <xf numFmtId="0" fontId="57" fillId="0" borderId="0" xfId="0" applyFont="1"/>
    <xf numFmtId="0" fontId="12" fillId="4" borderId="0" xfId="0" applyFont="1" applyFill="1" applyAlignment="1">
      <alignment horizontal="left"/>
    </xf>
    <xf numFmtId="0" fontId="10" fillId="3" borderId="0" xfId="0" applyFont="1" applyFill="1"/>
    <xf numFmtId="177" fontId="2" fillId="0" borderId="8" xfId="7" applyNumberFormat="1" applyFont="1" applyBorder="1"/>
    <xf numFmtId="177" fontId="2" fillId="3" borderId="8" xfId="7" applyNumberFormat="1" applyFont="1" applyFill="1" applyBorder="1"/>
    <xf numFmtId="44" fontId="0" fillId="0" borderId="6" xfId="2" applyFont="1" applyBorder="1"/>
    <xf numFmtId="166" fontId="0" fillId="0" borderId="6" xfId="1" applyNumberFormat="1" applyFont="1" applyBorder="1"/>
    <xf numFmtId="196" fontId="56" fillId="3" borderId="0" xfId="0" applyNumberFormat="1" applyFont="1" applyFill="1"/>
    <xf numFmtId="195" fontId="56" fillId="3" borderId="0" xfId="0" applyNumberFormat="1" applyFont="1" applyFill="1"/>
    <xf numFmtId="186" fontId="35" fillId="3" borderId="0" xfId="5" applyNumberFormat="1" applyFont="1" applyFill="1" applyBorder="1"/>
    <xf numFmtId="191" fontId="31" fillId="3" borderId="30" xfId="0" applyNumberFormat="1" applyFont="1" applyFill="1" applyBorder="1" applyAlignment="1">
      <alignment wrapText="1"/>
    </xf>
    <xf numFmtId="172" fontId="23" fillId="3" borderId="0" xfId="4" applyNumberFormat="1" applyFont="1" applyFill="1" applyAlignment="1">
      <alignment horizontal="right"/>
    </xf>
    <xf numFmtId="0" fontId="23" fillId="3" borderId="0" xfId="4" applyFont="1" applyFill="1"/>
    <xf numFmtId="171" fontId="23" fillId="3" borderId="0" xfId="4" applyNumberFormat="1" applyFont="1" applyFill="1" applyAlignment="1">
      <alignment horizontal="right"/>
    </xf>
    <xf numFmtId="173" fontId="23" fillId="3" borderId="0" xfId="4" applyNumberFormat="1" applyFont="1" applyFill="1" applyAlignment="1">
      <alignment horizontal="right"/>
    </xf>
    <xf numFmtId="174" fontId="23" fillId="3" borderId="0" xfId="4" applyNumberFormat="1" applyFont="1" applyFill="1" applyAlignment="1">
      <alignment horizontal="right"/>
    </xf>
    <xf numFmtId="166" fontId="22" fillId="3" borderId="8" xfId="1" applyNumberFormat="1" applyFont="1" applyFill="1" applyBorder="1" applyAlignment="1">
      <alignment vertical="center"/>
    </xf>
    <xf numFmtId="172" fontId="22" fillId="3" borderId="8" xfId="0" applyNumberFormat="1" applyFont="1" applyFill="1" applyBorder="1" applyAlignment="1">
      <alignment vertical="center"/>
    </xf>
    <xf numFmtId="166" fontId="23" fillId="3" borderId="8" xfId="1" applyNumberFormat="1" applyFont="1" applyFill="1" applyBorder="1" applyAlignment="1">
      <alignment vertical="center"/>
    </xf>
    <xf numFmtId="0" fontId="56" fillId="3" borderId="0" xfId="0" applyFont="1" applyFill="1"/>
    <xf numFmtId="41" fontId="0" fillId="0" borderId="0" xfId="1" applyNumberFormat="1" applyFont="1"/>
    <xf numFmtId="166" fontId="0" fillId="0" borderId="0" xfId="1" applyNumberFormat="1" applyFont="1"/>
    <xf numFmtId="43" fontId="0" fillId="0" borderId="0" xfId="0" applyNumberFormat="1"/>
    <xf numFmtId="188" fontId="31" fillId="3" borderId="29" xfId="0" applyNumberFormat="1" applyFont="1" applyFill="1" applyBorder="1" applyAlignment="1">
      <alignment wrapText="1"/>
    </xf>
    <xf numFmtId="187" fontId="21" fillId="3" borderId="24" xfId="0" applyNumberFormat="1" applyFont="1" applyFill="1" applyBorder="1" applyAlignment="1">
      <alignment wrapText="1"/>
    </xf>
    <xf numFmtId="0" fontId="21" fillId="3" borderId="0" xfId="0" applyFont="1" applyFill="1"/>
    <xf numFmtId="0" fontId="21" fillId="3" borderId="22" xfId="0" applyFont="1" applyFill="1" applyBorder="1"/>
    <xf numFmtId="0" fontId="21" fillId="3" borderId="23" xfId="0" applyFont="1" applyFill="1" applyBorder="1"/>
    <xf numFmtId="187" fontId="21" fillId="3" borderId="29" xfId="0" applyNumberFormat="1" applyFont="1" applyFill="1" applyBorder="1" applyAlignment="1">
      <alignment wrapText="1"/>
    </xf>
    <xf numFmtId="41" fontId="0" fillId="3" borderId="0" xfId="0" applyNumberFormat="1" applyFill="1"/>
    <xf numFmtId="41" fontId="1" fillId="0" borderId="0" xfId="0" applyNumberFormat="1" applyFont="1"/>
    <xf numFmtId="37" fontId="58" fillId="3" borderId="0" xfId="0" applyNumberFormat="1" applyFont="1" applyFill="1" applyAlignment="1">
      <alignment horizontal="right" vertical="top"/>
    </xf>
    <xf numFmtId="183" fontId="55" fillId="3" borderId="0" xfId="0" applyNumberFormat="1" applyFont="1" applyFill="1"/>
    <xf numFmtId="0" fontId="20" fillId="4" borderId="10" xfId="3" applyFont="1" applyFill="1" applyBorder="1" applyAlignment="1">
      <alignment vertical="center"/>
    </xf>
    <xf numFmtId="0" fontId="20" fillId="4" borderId="11" xfId="3" applyFont="1" applyFill="1" applyBorder="1"/>
    <xf numFmtId="0" fontId="24" fillId="4" borderId="10" xfId="0" applyFont="1" applyFill="1" applyBorder="1"/>
    <xf numFmtId="0" fontId="21" fillId="4" borderId="9" xfId="0" applyFont="1" applyFill="1" applyBorder="1"/>
    <xf numFmtId="0" fontId="20" fillId="4" borderId="9" xfId="3" applyFont="1" applyFill="1" applyBorder="1"/>
    <xf numFmtId="0" fontId="24" fillId="4" borderId="0" xfId="0" applyFont="1" applyFill="1"/>
    <xf numFmtId="0" fontId="26" fillId="4" borderId="0" xfId="0" applyFont="1" applyFill="1"/>
    <xf numFmtId="165" fontId="8" fillId="3" borderId="8" xfId="0" applyNumberFormat="1" applyFont="1" applyFill="1" applyBorder="1" applyAlignment="1">
      <alignment horizontal="right" wrapText="1"/>
    </xf>
    <xf numFmtId="37" fontId="45" fillId="0" borderId="11" xfId="0" applyNumberFormat="1" applyFont="1" applyBorder="1" applyAlignment="1">
      <alignment horizontal="right" vertical="top"/>
    </xf>
    <xf numFmtId="192" fontId="50" fillId="0" borderId="9" xfId="0" applyNumberFormat="1" applyFont="1" applyBorder="1" applyAlignment="1">
      <alignment horizontal="right" vertical="top"/>
    </xf>
    <xf numFmtId="10" fontId="0" fillId="0" borderId="8" xfId="0" applyNumberFormat="1" applyBorder="1"/>
    <xf numFmtId="10" fontId="0" fillId="0" borderId="8" xfId="1" applyNumberFormat="1" applyFont="1" applyBorder="1"/>
    <xf numFmtId="10" fontId="35" fillId="3" borderId="8" xfId="5" applyNumberFormat="1" applyFont="1" applyFill="1" applyBorder="1"/>
    <xf numFmtId="181" fontId="2" fillId="0" borderId="8" xfId="0" applyNumberFormat="1" applyFont="1" applyBorder="1"/>
    <xf numFmtId="166" fontId="2" fillId="0" borderId="0" xfId="9" applyNumberFormat="1" applyFont="1" applyBorder="1"/>
    <xf numFmtId="177" fontId="2" fillId="0" borderId="0" xfId="7" applyNumberFormat="1" applyFont="1" applyBorder="1"/>
    <xf numFmtId="177" fontId="28" fillId="6" borderId="0" xfId="7" applyNumberFormat="1" applyFont="1" applyFill="1" applyBorder="1"/>
    <xf numFmtId="177" fontId="2" fillId="3" borderId="0" xfId="7" applyNumberFormat="1" applyFont="1" applyFill="1" applyBorder="1"/>
    <xf numFmtId="185" fontId="28" fillId="6" borderId="0" xfId="7" applyNumberFormat="1" applyFont="1" applyFill="1" applyBorder="1"/>
    <xf numFmtId="185" fontId="28" fillId="3" borderId="0" xfId="7" applyNumberFormat="1" applyFont="1" applyFill="1" applyBorder="1"/>
    <xf numFmtId="182" fontId="2" fillId="0" borderId="0" xfId="9" applyNumberFormat="1" applyFont="1" applyBorder="1"/>
    <xf numFmtId="183" fontId="2" fillId="0" borderId="0" xfId="9" applyNumberFormat="1" applyFont="1" applyBorder="1"/>
    <xf numFmtId="167" fontId="53" fillId="6" borderId="36" xfId="0" applyNumberFormat="1" applyFont="1" applyFill="1" applyBorder="1" applyAlignment="1">
      <alignment horizontal="right" vertical="top" wrapText="1"/>
    </xf>
    <xf numFmtId="7" fontId="28" fillId="3" borderId="8" xfId="7" applyNumberFormat="1" applyFont="1" applyFill="1" applyBorder="1"/>
    <xf numFmtId="2" fontId="2" fillId="0" borderId="8" xfId="0" applyNumberFormat="1" applyFont="1" applyBorder="1"/>
    <xf numFmtId="185" fontId="28" fillId="0" borderId="8" xfId="7" applyNumberFormat="1" applyFont="1" applyBorder="1"/>
    <xf numFmtId="181" fontId="2" fillId="0" borderId="9" xfId="0" applyNumberFormat="1" applyFont="1" applyBorder="1"/>
    <xf numFmtId="168" fontId="10" fillId="0" borderId="0" xfId="0" applyNumberFormat="1" applyFont="1" applyAlignment="1">
      <alignment horizontal="right"/>
    </xf>
    <xf numFmtId="14" fontId="8" fillId="3" borderId="8" xfId="0" applyNumberFormat="1" applyFont="1" applyFill="1" applyBorder="1" applyAlignment="1">
      <alignment horizontal="right" wrapText="1"/>
    </xf>
    <xf numFmtId="9" fontId="8" fillId="3" borderId="8" xfId="1" applyFont="1" applyFill="1" applyBorder="1" applyAlignment="1">
      <alignment horizontal="right" wrapText="1"/>
    </xf>
    <xf numFmtId="10" fontId="8" fillId="3" borderId="8" xfId="1" applyNumberFormat="1" applyFont="1" applyFill="1" applyBorder="1" applyAlignment="1">
      <alignment horizontal="right" wrapText="1"/>
    </xf>
    <xf numFmtId="0" fontId="0" fillId="0" borderId="8" xfId="0" applyBorder="1"/>
    <xf numFmtId="166" fontId="0" fillId="0" borderId="0" xfId="1" applyNumberFormat="1" applyFont="1" applyBorder="1"/>
    <xf numFmtId="10" fontId="0" fillId="0" borderId="0" xfId="1" applyNumberFormat="1" applyFont="1" applyBorder="1"/>
    <xf numFmtId="9" fontId="44" fillId="0" borderId="8" xfId="1" applyFont="1" applyBorder="1" applyAlignment="1">
      <alignment horizontal="right" vertical="top"/>
    </xf>
    <xf numFmtId="37" fontId="50" fillId="0" borderId="35" xfId="0" applyNumberFormat="1" applyFont="1" applyBorder="1" applyAlignment="1">
      <alignment horizontal="right" vertical="top"/>
    </xf>
    <xf numFmtId="37" fontId="50" fillId="0" borderId="8" xfId="0" applyNumberFormat="1" applyFont="1" applyBorder="1" applyAlignment="1">
      <alignment horizontal="right" vertical="top"/>
    </xf>
    <xf numFmtId="37" fontId="0" fillId="0" borderId="8" xfId="0" applyNumberFormat="1" applyBorder="1"/>
    <xf numFmtId="9" fontId="44" fillId="0" borderId="0" xfId="1" applyFont="1" applyBorder="1" applyAlignment="1">
      <alignment horizontal="right" vertical="top"/>
    </xf>
    <xf numFmtId="0" fontId="4" fillId="4" borderId="0" xfId="0" applyFont="1" applyFill="1"/>
    <xf numFmtId="37" fontId="15" fillId="0" borderId="11" xfId="0" applyNumberFormat="1" applyFont="1" applyBorder="1"/>
    <xf numFmtId="37" fontId="0" fillId="0" borderId="14" xfId="0" applyNumberFormat="1" applyBorder="1"/>
    <xf numFmtId="37" fontId="0" fillId="0" borderId="11" xfId="0" applyNumberFormat="1" applyBorder="1"/>
    <xf numFmtId="41" fontId="45" fillId="0" borderId="9" xfId="0" applyNumberFormat="1" applyFont="1" applyBorder="1" applyAlignment="1">
      <alignment horizontal="right" vertical="top"/>
    </xf>
    <xf numFmtId="37" fontId="29" fillId="0" borderId="8" xfId="0" applyNumberFormat="1" applyFont="1" applyBorder="1" applyAlignment="1">
      <alignment horizontal="right" vertical="top"/>
    </xf>
    <xf numFmtId="193" fontId="29" fillId="0" borderId="8" xfId="0" applyNumberFormat="1" applyFont="1" applyBorder="1" applyAlignment="1">
      <alignment horizontal="right" vertical="top"/>
    </xf>
    <xf numFmtId="37" fontId="44" fillId="0" borderId="8" xfId="0" applyNumberFormat="1" applyFont="1" applyBorder="1" applyAlignment="1">
      <alignment horizontal="right" vertical="top"/>
    </xf>
    <xf numFmtId="37" fontId="45" fillId="0" borderId="8" xfId="0" applyNumberFormat="1" applyFont="1" applyBorder="1" applyAlignment="1">
      <alignment horizontal="right" vertical="top"/>
    </xf>
    <xf numFmtId="167" fontId="49" fillId="0" borderId="8" xfId="0" applyNumberFormat="1" applyFont="1" applyBorder="1" applyAlignment="1">
      <alignment horizontal="left" vertical="top"/>
    </xf>
    <xf numFmtId="167" fontId="49" fillId="0" borderId="8" xfId="0" applyNumberFormat="1" applyFont="1" applyBorder="1" applyAlignment="1">
      <alignment horizontal="right" vertical="top" wrapText="1"/>
    </xf>
    <xf numFmtId="167" fontId="28" fillId="0" borderId="11" xfId="0" applyNumberFormat="1" applyFont="1" applyBorder="1"/>
    <xf numFmtId="192" fontId="50" fillId="0" borderId="8" xfId="0" applyNumberFormat="1" applyFont="1" applyBorder="1" applyAlignment="1">
      <alignment horizontal="right" vertical="top"/>
    </xf>
    <xf numFmtId="10" fontId="28" fillId="6" borderId="35" xfId="0" applyNumberFormat="1" applyFont="1" applyFill="1" applyBorder="1"/>
    <xf numFmtId="0" fontId="28" fillId="6" borderId="6" xfId="0" applyFont="1" applyFill="1" applyBorder="1"/>
    <xf numFmtId="0" fontId="59" fillId="0" borderId="0" xfId="0" applyFont="1"/>
    <xf numFmtId="0" fontId="15" fillId="0" borderId="2" xfId="0" applyFont="1" applyBorder="1"/>
    <xf numFmtId="0" fontId="15" fillId="0" borderId="38" xfId="0" applyFont="1" applyBorder="1"/>
    <xf numFmtId="0" fontId="59" fillId="0" borderId="12" xfId="0" applyFont="1" applyBorder="1"/>
    <xf numFmtId="43" fontId="0" fillId="0" borderId="0" xfId="5" applyFont="1"/>
    <xf numFmtId="178" fontId="0" fillId="0" borderId="0" xfId="5" applyNumberFormat="1" applyFont="1"/>
    <xf numFmtId="178" fontId="15" fillId="0" borderId="2" xfId="5" applyNumberFormat="1" applyFont="1" applyBorder="1"/>
    <xf numFmtId="178" fontId="0" fillId="0" borderId="0" xfId="5" applyNumberFormat="1" applyFont="1" applyBorder="1"/>
    <xf numFmtId="41" fontId="15" fillId="0" borderId="37" xfId="0" applyNumberFormat="1" applyFont="1" applyBorder="1"/>
    <xf numFmtId="197" fontId="59" fillId="0" borderId="13" xfId="0" applyNumberFormat="1" applyFont="1" applyBorder="1"/>
    <xf numFmtId="197" fontId="59" fillId="0" borderId="14" xfId="0" applyNumberFormat="1" applyFont="1" applyBorder="1"/>
    <xf numFmtId="178" fontId="15" fillId="0" borderId="2" xfId="0" applyNumberFormat="1" applyFont="1" applyBorder="1"/>
    <xf numFmtId="178" fontId="15" fillId="0" borderId="37" xfId="0" applyNumberFormat="1" applyFont="1" applyBorder="1"/>
    <xf numFmtId="178" fontId="0" fillId="0" borderId="0" xfId="5" applyNumberFormat="1" applyFont="1" applyFill="1" applyBorder="1"/>
    <xf numFmtId="169" fontId="0" fillId="0" borderId="0" xfId="0" applyNumberFormat="1"/>
    <xf numFmtId="166" fontId="60" fillId="0" borderId="0" xfId="1" applyNumberFormat="1" applyFont="1" applyFill="1" applyBorder="1"/>
    <xf numFmtId="198" fontId="0" fillId="0" borderId="0" xfId="0" applyNumberFormat="1"/>
    <xf numFmtId="166" fontId="60" fillId="0" borderId="0" xfId="1" applyNumberFormat="1" applyFont="1" applyBorder="1"/>
    <xf numFmtId="0" fontId="59" fillId="0" borderId="7" xfId="0" applyFont="1" applyBorder="1"/>
    <xf numFmtId="166" fontId="59" fillId="0" borderId="0" xfId="1" applyNumberFormat="1" applyFont="1" applyBorder="1"/>
    <xf numFmtId="166" fontId="59" fillId="0" borderId="8" xfId="1" applyNumberFormat="1" applyFont="1" applyBorder="1"/>
    <xf numFmtId="14" fontId="56" fillId="0" borderId="0" xfId="0" applyNumberFormat="1" applyFont="1"/>
    <xf numFmtId="2" fontId="28" fillId="3" borderId="0" xfId="7" applyNumberFormat="1" applyFont="1" applyFill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8" borderId="22" xfId="0" applyFont="1" applyFill="1" applyBorder="1" applyAlignment="1">
      <alignment horizontal="left"/>
    </xf>
    <xf numFmtId="0" fontId="31" fillId="0" borderId="23" xfId="0" applyFont="1" applyBorder="1"/>
    <xf numFmtId="0" fontId="31" fillId="0" borderId="24" xfId="0" applyFont="1" applyBorder="1"/>
    <xf numFmtId="0" fontId="26" fillId="0" borderId="13" xfId="4" applyFont="1" applyBorder="1" applyAlignment="1">
      <alignment horizontal="center"/>
    </xf>
    <xf numFmtId="178" fontId="0" fillId="0" borderId="0" xfId="0" applyNumberFormat="1"/>
    <xf numFmtId="178" fontId="0" fillId="0" borderId="8" xfId="0" applyNumberFormat="1" applyBorder="1"/>
    <xf numFmtId="0" fontId="56" fillId="4" borderId="0" xfId="0" applyFont="1" applyFill="1"/>
    <xf numFmtId="0" fontId="56" fillId="0" borderId="0" xfId="0" applyFont="1" applyFill="1"/>
    <xf numFmtId="197" fontId="61" fillId="0" borderId="13" xfId="0" applyNumberFormat="1" applyFont="1" applyBorder="1"/>
    <xf numFmtId="197" fontId="61" fillId="0" borderId="14" xfId="0" applyNumberFormat="1" applyFont="1" applyBorder="1"/>
    <xf numFmtId="178" fontId="0" fillId="0" borderId="8" xfId="5" applyNumberFormat="1" applyFont="1" applyFill="1" applyBorder="1"/>
    <xf numFmtId="166" fontId="0" fillId="0" borderId="8" xfId="1" applyNumberFormat="1" applyFont="1" applyFill="1" applyBorder="1"/>
    <xf numFmtId="179" fontId="0" fillId="0" borderId="0" xfId="5" applyNumberFormat="1" applyFont="1"/>
    <xf numFmtId="166" fontId="0" fillId="0" borderId="8" xfId="1" applyNumberFormat="1" applyFont="1" applyBorder="1"/>
    <xf numFmtId="166" fontId="59" fillId="0" borderId="0" xfId="1" applyNumberFormat="1" applyFont="1"/>
    <xf numFmtId="166" fontId="48" fillId="3" borderId="0" xfId="9" applyNumberFormat="1" applyFont="1" applyFill="1"/>
    <xf numFmtId="166" fontId="48" fillId="3" borderId="0" xfId="9" applyNumberFormat="1" applyFont="1" applyFill="1" applyBorder="1"/>
    <xf numFmtId="166" fontId="48" fillId="3" borderId="8" xfId="9" applyNumberFormat="1" applyFont="1" applyFill="1" applyBorder="1"/>
    <xf numFmtId="166" fontId="48" fillId="0" borderId="0" xfId="9" applyNumberFormat="1" applyFont="1"/>
    <xf numFmtId="166" fontId="48" fillId="0" borderId="0" xfId="9" applyNumberFormat="1" applyFont="1" applyBorder="1"/>
    <xf numFmtId="166" fontId="48" fillId="0" borderId="8" xfId="9" applyNumberFormat="1" applyFont="1" applyBorder="1"/>
    <xf numFmtId="189" fontId="48" fillId="0" borderId="0" xfId="0" applyNumberFormat="1" applyFont="1"/>
    <xf numFmtId="166" fontId="48" fillId="3" borderId="8" xfId="1" applyNumberFormat="1" applyFont="1" applyFill="1" applyBorder="1"/>
    <xf numFmtId="166" fontId="48" fillId="3" borderId="0" xfId="1" applyNumberFormat="1" applyFont="1" applyFill="1"/>
    <xf numFmtId="205" fontId="21" fillId="0" borderId="24" xfId="8" applyNumberFormat="1" applyFont="1" applyBorder="1" applyAlignment="1">
      <alignment wrapText="1"/>
    </xf>
    <xf numFmtId="0" fontId="62" fillId="0" borderId="0" xfId="0" applyFont="1" applyAlignment="1">
      <alignment vertical="top" wrapText="1"/>
    </xf>
    <xf numFmtId="9" fontId="48" fillId="0" borderId="0" xfId="1" applyFont="1"/>
    <xf numFmtId="0" fontId="1" fillId="0" borderId="0" xfId="0" applyFont="1"/>
    <xf numFmtId="0" fontId="1" fillId="0" borderId="8" xfId="0" applyFont="1" applyBorder="1"/>
    <xf numFmtId="178" fontId="1" fillId="0" borderId="0" xfId="0" applyNumberFormat="1" applyFont="1"/>
    <xf numFmtId="167" fontId="1" fillId="0" borderId="0" xfId="0" applyNumberFormat="1" applyFont="1"/>
    <xf numFmtId="166" fontId="1" fillId="0" borderId="0" xfId="1" applyNumberFormat="1" applyFont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0" xfId="0" applyNumberFormat="1" applyFont="1"/>
    <xf numFmtId="193" fontId="1" fillId="0" borderId="0" xfId="0" applyNumberFormat="1" applyFont="1"/>
    <xf numFmtId="37" fontId="1" fillId="0" borderId="0" xfId="0" applyNumberFormat="1" applyFont="1"/>
    <xf numFmtId="166" fontId="47" fillId="0" borderId="0" xfId="0" applyNumberFormat="1" applyFont="1" applyBorder="1" applyAlignment="1">
      <alignment horizontal="right" vertical="top"/>
    </xf>
    <xf numFmtId="166" fontId="47" fillId="0" borderId="8" xfId="0" applyNumberFormat="1" applyFont="1" applyBorder="1" applyAlignment="1">
      <alignment horizontal="right" vertical="top"/>
    </xf>
    <xf numFmtId="0" fontId="53" fillId="0" borderId="0" xfId="0" applyFont="1" applyAlignment="1">
      <alignment horizontal="left" vertical="top"/>
    </xf>
    <xf numFmtId="41" fontId="29" fillId="0" borderId="0" xfId="0" applyNumberFormat="1" applyFont="1" applyAlignment="1">
      <alignment horizontal="right" vertical="top"/>
    </xf>
    <xf numFmtId="0" fontId="49" fillId="0" borderId="0" xfId="0" applyFont="1" applyAlignment="1">
      <alignment horizontal="left" vertical="top" indent="2"/>
    </xf>
    <xf numFmtId="41" fontId="29" fillId="0" borderId="13" xfId="0" applyNumberFormat="1" applyFont="1" applyBorder="1" applyAlignment="1">
      <alignment horizontal="right" vertical="top"/>
    </xf>
    <xf numFmtId="0" fontId="50" fillId="0" borderId="2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63" fillId="0" borderId="0" xfId="0" applyFont="1" applyAlignment="1">
      <alignment vertical="top" wrapText="1"/>
    </xf>
    <xf numFmtId="185" fontId="21" fillId="0" borderId="0" xfId="0" applyNumberFormat="1" applyFont="1"/>
    <xf numFmtId="185" fontId="21" fillId="0" borderId="8" xfId="0" applyNumberFormat="1" applyFont="1" applyBorder="1"/>
    <xf numFmtId="185" fontId="36" fillId="11" borderId="0" xfId="5" applyNumberFormat="1" applyFont="1" applyFill="1" applyBorder="1"/>
    <xf numFmtId="185" fontId="36" fillId="11" borderId="8" xfId="5" applyNumberFormat="1" applyFont="1" applyFill="1" applyBorder="1"/>
    <xf numFmtId="186" fontId="21" fillId="0" borderId="0" xfId="5" applyNumberFormat="1" applyFont="1" applyFill="1" applyBorder="1"/>
    <xf numFmtId="186" fontId="21" fillId="0" borderId="8" xfId="5" applyNumberFormat="1" applyFont="1" applyFill="1" applyBorder="1"/>
    <xf numFmtId="185" fontId="21" fillId="0" borderId="0" xfId="5" applyNumberFormat="1" applyFont="1" applyFill="1" applyBorder="1"/>
    <xf numFmtId="185" fontId="21" fillId="0" borderId="8" xfId="5" applyNumberFormat="1" applyFont="1" applyFill="1" applyBorder="1"/>
    <xf numFmtId="185" fontId="21" fillId="0" borderId="14" xfId="5" applyNumberFormat="1" applyFont="1" applyFill="1" applyBorder="1"/>
    <xf numFmtId="185" fontId="36" fillId="11" borderId="2" xfId="5" applyNumberFormat="1" applyFont="1" applyFill="1" applyBorder="1"/>
    <xf numFmtId="185" fontId="36" fillId="11" borderId="9" xfId="5" applyNumberFormat="1" applyFont="1" applyFill="1" applyBorder="1"/>
    <xf numFmtId="185" fontId="36" fillId="11" borderId="11" xfId="5" applyNumberFormat="1" applyFont="1" applyFill="1" applyBorder="1"/>
    <xf numFmtId="186" fontId="36" fillId="0" borderId="0" xfId="5" applyNumberFormat="1" applyFont="1" applyFill="1" applyBorder="1"/>
    <xf numFmtId="186" fontId="36" fillId="0" borderId="8" xfId="5" applyNumberFormat="1" applyFont="1" applyFill="1" applyBorder="1"/>
    <xf numFmtId="186" fontId="21" fillId="0" borderId="13" xfId="5" applyNumberFormat="1" applyFont="1" applyFill="1" applyBorder="1"/>
    <xf numFmtId="178" fontId="21" fillId="0" borderId="0" xfId="5" applyNumberFormat="1" applyFont="1" applyFill="1" applyBorder="1"/>
    <xf numFmtId="178" fontId="21" fillId="0" borderId="8" xfId="5" applyNumberFormat="1" applyFont="1" applyFill="1" applyBorder="1"/>
    <xf numFmtId="184" fontId="21" fillId="0" borderId="0" xfId="0" applyNumberFormat="1" applyFont="1"/>
    <xf numFmtId="184" fontId="21" fillId="0" borderId="8" xfId="0" applyNumberFormat="1" applyFont="1" applyBorder="1"/>
    <xf numFmtId="178" fontId="64" fillId="0" borderId="0" xfId="5" applyNumberFormat="1" applyFont="1" applyFill="1" applyBorder="1"/>
    <xf numFmtId="10" fontId="64" fillId="0" borderId="0" xfId="5" applyNumberFormat="1" applyFont="1" applyFill="1" applyBorder="1"/>
    <xf numFmtId="10" fontId="64" fillId="3" borderId="0" xfId="5" applyNumberFormat="1" applyFont="1" applyFill="1" applyBorder="1"/>
  </cellXfs>
  <cellStyles count="17">
    <cellStyle name="AFE" xfId="11" xr:uid="{BAA3D75E-2EBF-4C0B-8F41-783C7F442AD9}"/>
    <cellStyle name="Comma" xfId="5" builtinId="3"/>
    <cellStyle name="Comma 2" xfId="7" xr:uid="{EE84385B-34E3-437B-8FFF-5C2CAB5324AD}"/>
    <cellStyle name="Currency" xfId="2" builtinId="4"/>
    <cellStyle name="Currency 2" xfId="16" xr:uid="{31FFE4F6-51B8-4455-87E7-FBC1838ECFD5}"/>
    <cellStyle name="Currency 3" xfId="8" xr:uid="{CFC83562-0D0E-4B90-8FEB-1DC754EA0979}"/>
    <cellStyle name="Normal" xfId="0" builtinId="0"/>
    <cellStyle name="Normal 2" xfId="3" xr:uid="{FFCD30E4-1A39-414C-9CE2-1D74F6983ED1}"/>
    <cellStyle name="Normal 2 2" xfId="10" xr:uid="{2CBA14EB-9C37-450E-A10D-3C4D5AB22FC5}"/>
    <cellStyle name="Normal 2 2 2" xfId="4" xr:uid="{E8DB0FA0-4821-4CC8-8F05-E247C80821FE}"/>
    <cellStyle name="Normal 2 3" xfId="13" xr:uid="{86AADE7B-14CB-4FAF-BE43-99DFA3514542}"/>
    <cellStyle name="Normal 3" xfId="6" xr:uid="{07E9B33A-DEED-4808-A0CE-C8F21C3D7A67}"/>
    <cellStyle name="Normal 7" xfId="14" xr:uid="{3D7712BA-9865-4635-BD72-922979CA8E84}"/>
    <cellStyle name="Pctg" xfId="12" xr:uid="{262E3F20-441D-4C6E-9A61-57EC25512D43}"/>
    <cellStyle name="Percent" xfId="1" builtinId="5"/>
    <cellStyle name="Percent 2" xfId="15" xr:uid="{E03DD6F5-8CDD-4415-A0B3-F82FA0706C55}"/>
    <cellStyle name="Percent 3" xfId="9" xr:uid="{766B7A87-0FF0-415F-8DB2-42B56F7348A2}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691505</xdr:colOff>
      <xdr:row>7</xdr:row>
      <xdr:rowOff>33684</xdr:rowOff>
    </xdr:from>
    <xdr:to>
      <xdr:col>11</xdr:col>
      <xdr:colOff>196205</xdr:colOff>
      <xdr:row>14</xdr:row>
      <xdr:rowOff>14632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C7D6CB-425E-2F4E-940F-125CA92F7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4548" y="1450930"/>
          <a:ext cx="5302527" cy="1398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997857</xdr:colOff>
      <xdr:row>30</xdr:row>
      <xdr:rowOff>136072</xdr:rowOff>
    </xdr:from>
    <xdr:to>
      <xdr:col>7</xdr:col>
      <xdr:colOff>846364</xdr:colOff>
      <xdr:row>35</xdr:row>
      <xdr:rowOff>29936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7BC1658-D60A-C934-034D-24CCBC0E3E9E}"/>
            </a:ext>
          </a:extLst>
        </xdr:cNvPr>
        <xdr:cNvCxnSpPr/>
      </xdr:nvCxnSpPr>
      <xdr:spPr>
        <a:xfrm>
          <a:off x="7189107" y="6259286"/>
          <a:ext cx="914400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22680</xdr:colOff>
      <xdr:row>3</xdr:row>
      <xdr:rowOff>34019</xdr:rowOff>
    </xdr:from>
    <xdr:to>
      <xdr:col>4</xdr:col>
      <xdr:colOff>90715</xdr:colOff>
      <xdr:row>19</xdr:row>
      <xdr:rowOff>124732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27DAAE5-E090-67CB-FE6D-1143EF2710AF}"/>
            </a:ext>
          </a:extLst>
        </xdr:cNvPr>
        <xdr:cNvSpPr/>
      </xdr:nvSpPr>
      <xdr:spPr>
        <a:xfrm>
          <a:off x="3299734" y="646340"/>
          <a:ext cx="1099910" cy="3356428"/>
        </a:xfrm>
        <a:prstGeom prst="rect">
          <a:avLst/>
        </a:prstGeom>
        <a:solidFill>
          <a:srgbClr val="0033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Data Not Available</a:t>
          </a:r>
        </a:p>
      </xdr:txBody>
    </xdr:sp>
    <xdr:clientData/>
  </xdr:twoCellAnchor>
  <xdr:twoCellAnchor>
    <xdr:from>
      <xdr:col>5</xdr:col>
      <xdr:colOff>102053</xdr:colOff>
      <xdr:row>3</xdr:row>
      <xdr:rowOff>45359</xdr:rowOff>
    </xdr:from>
    <xdr:to>
      <xdr:col>6</xdr:col>
      <xdr:colOff>226784</xdr:colOff>
      <xdr:row>19</xdr:row>
      <xdr:rowOff>136072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9C3445B-89D6-8848-B38B-7046EE2D295C}"/>
            </a:ext>
          </a:extLst>
        </xdr:cNvPr>
        <xdr:cNvSpPr/>
      </xdr:nvSpPr>
      <xdr:spPr>
        <a:xfrm>
          <a:off x="5182053" y="657680"/>
          <a:ext cx="1099910" cy="3356428"/>
        </a:xfrm>
        <a:prstGeom prst="rect">
          <a:avLst/>
        </a:prstGeom>
        <a:solidFill>
          <a:srgbClr val="0033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Data 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0EA3-13F1-A344-B052-F1282426CE78}">
  <dimension ref="A5:P23"/>
  <sheetViews>
    <sheetView showGridLines="0" tabSelected="1" zoomScale="91" workbookViewId="0"/>
  </sheetViews>
  <sheetFormatPr baseColWidth="10" defaultColWidth="11" defaultRowHeight="16" x14ac:dyDescent="0.2"/>
  <sheetData>
    <row r="5" spans="1:16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16" spans="1:16" ht="32" customHeight="1" x14ac:dyDescent="0.45">
      <c r="F16" s="24" t="s">
        <v>45</v>
      </c>
      <c r="G16" s="25"/>
      <c r="H16" s="25"/>
      <c r="I16" s="25"/>
      <c r="J16" s="25"/>
      <c r="K16" s="25"/>
    </row>
    <row r="17" spans="1:16" ht="3" customHeight="1" x14ac:dyDescent="0.3">
      <c r="E17" s="25"/>
      <c r="F17" s="332"/>
      <c r="G17" s="332"/>
      <c r="H17" s="332"/>
      <c r="I17" s="332"/>
      <c r="J17" s="332"/>
      <c r="K17" s="332"/>
      <c r="L17" s="25"/>
      <c r="M17" s="25"/>
    </row>
    <row r="18" spans="1:16" ht="22.5" customHeight="1" x14ac:dyDescent="0.25">
      <c r="F18" s="333" t="s">
        <v>232</v>
      </c>
      <c r="G18" s="333"/>
      <c r="H18" s="333"/>
      <c r="I18" s="333"/>
      <c r="J18" s="333"/>
      <c r="K18" s="333"/>
      <c r="L18" s="222"/>
      <c r="M18" s="218">
        <v>1</v>
      </c>
    </row>
    <row r="19" spans="1:16" x14ac:dyDescent="0.2">
      <c r="L19" s="222"/>
      <c r="M19" s="229">
        <v>2</v>
      </c>
    </row>
    <row r="20" spans="1:16" x14ac:dyDescent="0.2">
      <c r="H20" t="s">
        <v>60</v>
      </c>
      <c r="I20" s="221">
        <v>1</v>
      </c>
      <c r="L20" s="222"/>
      <c r="M20" s="230">
        <v>3</v>
      </c>
    </row>
    <row r="21" spans="1:16" x14ac:dyDescent="0.2">
      <c r="H21" t="s">
        <v>61</v>
      </c>
      <c r="I21" s="227">
        <f ca="1">DCF!U28</f>
        <v>104.67504631352756</v>
      </c>
      <c r="L21" s="222"/>
      <c r="M21" s="222"/>
    </row>
    <row r="22" spans="1:16" x14ac:dyDescent="0.2">
      <c r="H22" t="s">
        <v>230</v>
      </c>
      <c r="I22" s="228">
        <f ca="1">(I21/DCF!U32)-1</f>
        <v>0.40202312233495263</v>
      </c>
      <c r="L22" s="222"/>
      <c r="M22" s="222"/>
    </row>
    <row r="23" spans="1:1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2">
    <mergeCell ref="F17:K17"/>
    <mergeCell ref="F18:K18"/>
  </mergeCells>
  <dataValidations count="1">
    <dataValidation type="list" allowBlank="1" showInputMessage="1" showErrorMessage="1" sqref="I20" xr:uid="{9B580856-F9B3-4C14-8D2D-15F33B7433D9}">
      <formula1>$M$18:$M$20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E064-70E4-424C-9390-A34BA9B066B3}">
  <dimension ref="B1:M102"/>
  <sheetViews>
    <sheetView showGridLines="0" topLeftCell="B1" zoomScale="125" workbookViewId="0">
      <pane ySplit="4" topLeftCell="A21" activePane="bottomLeft" state="frozen"/>
      <selection pane="bottomLeft" activeCell="I41" sqref="I41:M41"/>
    </sheetView>
  </sheetViews>
  <sheetFormatPr baseColWidth="10" defaultColWidth="11" defaultRowHeight="16" x14ac:dyDescent="0.2"/>
  <cols>
    <col min="1" max="1" width="4.33203125" customWidth="1"/>
    <col min="2" max="2" width="54.83203125" customWidth="1"/>
    <col min="3" max="7" width="12.6640625" bestFit="1" customWidth="1"/>
    <col min="8" max="8" width="14.5" customWidth="1"/>
    <col min="9" max="9" width="11" customWidth="1"/>
  </cols>
  <sheetData>
    <row r="1" spans="2:13" ht="31" x14ac:dyDescent="0.35">
      <c r="B1" s="20" t="s">
        <v>45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2:13" x14ac:dyDescent="0.2">
      <c r="B2" s="220" t="s">
        <v>46</v>
      </c>
      <c r="C2" s="19">
        <f>Master!I20</f>
        <v>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x14ac:dyDescent="0.2">
      <c r="B3" s="18" t="s">
        <v>51</v>
      </c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</row>
    <row r="4" spans="2:13" x14ac:dyDescent="0.2">
      <c r="C4" s="7">
        <v>2017</v>
      </c>
      <c r="D4" s="7">
        <f>C4+1</f>
        <v>2018</v>
      </c>
      <c r="E4" s="7">
        <f t="shared" ref="E4:G4" si="0">D4+1</f>
        <v>2019</v>
      </c>
      <c r="F4" s="7">
        <f t="shared" si="0"/>
        <v>2020</v>
      </c>
      <c r="G4" s="7">
        <f t="shared" si="0"/>
        <v>2021</v>
      </c>
      <c r="H4" s="283" t="s">
        <v>233</v>
      </c>
      <c r="I4" s="282" t="s">
        <v>234</v>
      </c>
      <c r="J4" s="282" t="s">
        <v>235</v>
      </c>
      <c r="K4" s="282" t="s">
        <v>236</v>
      </c>
      <c r="L4" s="282" t="s">
        <v>237</v>
      </c>
      <c r="M4" s="282" t="s">
        <v>238</v>
      </c>
    </row>
    <row r="5" spans="2:13" x14ac:dyDescent="0.2">
      <c r="B5" s="21" t="s">
        <v>229</v>
      </c>
      <c r="C5" s="242"/>
      <c r="D5" s="243">
        <f>IS!D6</f>
        <v>0.18000610966855057</v>
      </c>
      <c r="E5" s="243">
        <f>IS!E6</f>
        <v>0.15021681444566704</v>
      </c>
      <c r="F5" s="243">
        <f>IS!F6</f>
        <v>0.20717983344586988</v>
      </c>
      <c r="G5" s="287">
        <f>IS!G6</f>
        <v>0.18257667567819524</v>
      </c>
      <c r="H5" s="266">
        <f>IS!H6</f>
        <v>8.4624177210200546E-2</v>
      </c>
      <c r="I5" s="219">
        <f t="shared" ref="I5:M5" ca="1" si="1">+OFFSET(I5,$C$2,)</f>
        <v>0.1365360363178787</v>
      </c>
      <c r="J5" s="219">
        <f t="shared" ca="1" si="1"/>
        <v>0.10058489041166707</v>
      </c>
      <c r="K5" s="219">
        <f t="shared" ca="1" si="1"/>
        <v>9.7274390916054498E-2</v>
      </c>
      <c r="L5" s="219">
        <f t="shared" ca="1" si="1"/>
        <v>9.4436947911675118E-2</v>
      </c>
      <c r="M5" s="219">
        <f t="shared" ca="1" si="1"/>
        <v>9.0692066424571172E-2</v>
      </c>
    </row>
    <row r="6" spans="2:13" x14ac:dyDescent="0.2">
      <c r="B6" t="s">
        <v>47</v>
      </c>
      <c r="H6" s="284"/>
      <c r="I6" s="216">
        <f>Revenue!I25</f>
        <v>0.1365360363178787</v>
      </c>
      <c r="J6" s="216">
        <f>Revenue!J25</f>
        <v>0.10058489041166707</v>
      </c>
      <c r="K6" s="216">
        <f>Revenue!K25</f>
        <v>9.7274390916054498E-2</v>
      </c>
      <c r="L6" s="216">
        <f>Revenue!L25</f>
        <v>9.4436947911675118E-2</v>
      </c>
      <c r="M6" s="216">
        <f>Revenue!M25</f>
        <v>9.0692066424571172E-2</v>
      </c>
    </row>
    <row r="7" spans="2:13" x14ac:dyDescent="0.2">
      <c r="B7" t="s">
        <v>52</v>
      </c>
      <c r="H7" s="284"/>
      <c r="I7" s="216">
        <v>0.14699999999999999</v>
      </c>
      <c r="J7" s="216">
        <v>0.14000000000000001</v>
      </c>
      <c r="K7" s="216">
        <v>0.12</v>
      </c>
      <c r="L7" s="216">
        <v>0.12</v>
      </c>
      <c r="M7" s="216">
        <v>0.11</v>
      </c>
    </row>
    <row r="8" spans="2:13" x14ac:dyDescent="0.2">
      <c r="B8" t="s">
        <v>53</v>
      </c>
      <c r="H8" s="284"/>
      <c r="I8" s="216">
        <v>0.08</v>
      </c>
      <c r="J8" s="216">
        <v>8.5000000000000006E-2</v>
      </c>
      <c r="K8" s="216">
        <v>0.08</v>
      </c>
      <c r="L8" s="216">
        <v>7.4999999999999997E-2</v>
      </c>
      <c r="M8" s="216">
        <v>0.06</v>
      </c>
    </row>
    <row r="9" spans="2:13" x14ac:dyDescent="0.2">
      <c r="H9" s="284"/>
      <c r="I9" s="254"/>
      <c r="J9" s="254"/>
      <c r="K9" s="254"/>
      <c r="L9" s="254"/>
      <c r="M9" s="254"/>
    </row>
    <row r="10" spans="2:13" x14ac:dyDescent="0.2">
      <c r="B10" s="21" t="s">
        <v>68</v>
      </c>
      <c r="C10" s="22">
        <f>IS!C8/IS!C5</f>
        <v>0.33748281655720175</v>
      </c>
      <c r="D10" s="22">
        <f>IS!D8/IS!D5</f>
        <v>0.36120639440812891</v>
      </c>
      <c r="E10" s="22">
        <f>IS!E8/IS!E5</f>
        <v>0.38206167004276392</v>
      </c>
      <c r="F10" s="22">
        <f>IS!F8/IS!F5</f>
        <v>0.36981448680898665</v>
      </c>
      <c r="G10" s="288">
        <f>IS!G8/IS!G5</f>
        <v>0.40656655236293404</v>
      </c>
      <c r="H10" s="266">
        <f>IS!H8/IS!H5</f>
        <v>0.4423649974562105</v>
      </c>
      <c r="I10" s="219">
        <f t="shared" ref="I10:M10" ca="1" si="2">+OFFSET(I10,$C$2,)</f>
        <v>0.44500000000000001</v>
      </c>
      <c r="J10" s="219">
        <f t="shared" ca="1" si="2"/>
        <v>0.44750000000000001</v>
      </c>
      <c r="K10" s="219">
        <f t="shared" ca="1" si="2"/>
        <v>0.45</v>
      </c>
      <c r="L10" s="219">
        <f t="shared" ca="1" si="2"/>
        <v>0.45</v>
      </c>
      <c r="M10" s="219">
        <f t="shared" ca="1" si="2"/>
        <v>0.45</v>
      </c>
    </row>
    <row r="11" spans="2:13" x14ac:dyDescent="0.2">
      <c r="B11" t="s">
        <v>47</v>
      </c>
      <c r="H11" s="284"/>
      <c r="I11" s="216">
        <v>0.44500000000000001</v>
      </c>
      <c r="J11" s="216">
        <f>I11+0.0025</f>
        <v>0.44750000000000001</v>
      </c>
      <c r="K11" s="216">
        <f t="shared" ref="K11" si="3">J11+0.0025</f>
        <v>0.45</v>
      </c>
      <c r="L11" s="216">
        <f>K11</f>
        <v>0.45</v>
      </c>
      <c r="M11" s="216">
        <f>L11</f>
        <v>0.45</v>
      </c>
    </row>
    <row r="12" spans="2:13" x14ac:dyDescent="0.2">
      <c r="B12" t="s">
        <v>52</v>
      </c>
      <c r="H12" s="284"/>
      <c r="I12" s="216">
        <f>I11-0.001</f>
        <v>0.44400000000000001</v>
      </c>
      <c r="J12" s="216">
        <f>J11-0.001</f>
        <v>0.44650000000000001</v>
      </c>
      <c r="K12" s="216">
        <f>K11-0.001</f>
        <v>0.44900000000000001</v>
      </c>
      <c r="L12" s="216">
        <f t="shared" ref="L12:M12" si="4">L11-0.001</f>
        <v>0.44900000000000001</v>
      </c>
      <c r="M12" s="216">
        <f t="shared" si="4"/>
        <v>0.44900000000000001</v>
      </c>
    </row>
    <row r="13" spans="2:13" x14ac:dyDescent="0.2">
      <c r="B13" t="s">
        <v>53</v>
      </c>
      <c r="H13" s="284"/>
      <c r="I13" s="216">
        <f>I11+0.005</f>
        <v>0.45</v>
      </c>
      <c r="J13" s="216">
        <f t="shared" ref="J13:M13" si="5">J11+0.005</f>
        <v>0.45250000000000001</v>
      </c>
      <c r="K13" s="216">
        <f t="shared" si="5"/>
        <v>0.45500000000000002</v>
      </c>
      <c r="L13" s="216">
        <f t="shared" si="5"/>
        <v>0.45500000000000002</v>
      </c>
      <c r="M13" s="216">
        <f t="shared" si="5"/>
        <v>0.45500000000000002</v>
      </c>
    </row>
    <row r="14" spans="2:13" x14ac:dyDescent="0.2">
      <c r="H14" s="284"/>
      <c r="L14" s="23"/>
    </row>
    <row r="15" spans="2:13" x14ac:dyDescent="0.2">
      <c r="B15" s="21" t="s">
        <v>69</v>
      </c>
      <c r="C15" s="27">
        <f>IS!C9/IS!C5</f>
        <v>7.7210936306705363E-2</v>
      </c>
      <c r="D15" s="27">
        <f>IS!D9/IS!D5</f>
        <v>8.2454210083489743E-2</v>
      </c>
      <c r="E15" s="27">
        <f>IS!E9/IS!E5</f>
        <v>7.7650236326806218E-2</v>
      </c>
      <c r="F15" s="27">
        <f>IS!F9/IS!F5</f>
        <v>8.1150368229700759E-2</v>
      </c>
      <c r="G15" s="27">
        <f>IS!G9/IS!G5</f>
        <v>4.1779985022269518E-2</v>
      </c>
      <c r="H15" s="265">
        <f>IS!H9/IS!H5</f>
        <v>5.7126244639872086E-2</v>
      </c>
      <c r="I15" s="219">
        <f ca="1">+OFFSET(I15,$C$2,)</f>
        <v>5.7000000000000002E-2</v>
      </c>
      <c r="J15" s="219">
        <f t="shared" ref="J15:M15" ca="1" si="6">+OFFSET(J15,$C$2,)</f>
        <v>5.7000000000000002E-2</v>
      </c>
      <c r="K15" s="219">
        <f t="shared" ca="1" si="6"/>
        <v>5.7000000000000002E-2</v>
      </c>
      <c r="L15" s="219">
        <f t="shared" ca="1" si="6"/>
        <v>5.7000000000000002E-2</v>
      </c>
      <c r="M15" s="219">
        <f t="shared" ca="1" si="6"/>
        <v>5.7000000000000002E-2</v>
      </c>
    </row>
    <row r="16" spans="2:13" x14ac:dyDescent="0.2">
      <c r="B16" t="s">
        <v>47</v>
      </c>
      <c r="H16" s="284"/>
      <c r="I16" s="216">
        <v>5.7000000000000002E-2</v>
      </c>
      <c r="J16" s="216">
        <v>5.7000000000000002E-2</v>
      </c>
      <c r="K16" s="216">
        <v>5.7000000000000002E-2</v>
      </c>
      <c r="L16" s="216">
        <v>5.7000000000000002E-2</v>
      </c>
      <c r="M16" s="216">
        <v>5.7000000000000002E-2</v>
      </c>
    </row>
    <row r="17" spans="2:13" x14ac:dyDescent="0.2">
      <c r="B17" t="s">
        <v>52</v>
      </c>
      <c r="H17" s="284"/>
      <c r="I17" s="216">
        <v>5.5E-2</v>
      </c>
      <c r="J17" s="216">
        <v>5.5E-2</v>
      </c>
      <c r="K17" s="216">
        <v>5.5E-2</v>
      </c>
      <c r="L17" s="216">
        <v>5.5E-2</v>
      </c>
      <c r="M17" s="216">
        <v>5.5E-2</v>
      </c>
    </row>
    <row r="18" spans="2:13" x14ac:dyDescent="0.2">
      <c r="B18" t="s">
        <v>53</v>
      </c>
      <c r="H18" s="284"/>
      <c r="I18" s="216">
        <v>5.8999999999999997E-2</v>
      </c>
      <c r="J18" s="216">
        <v>5.8999999999999997E-2</v>
      </c>
      <c r="K18" s="216">
        <v>5.8999999999999997E-2</v>
      </c>
      <c r="L18" s="216">
        <v>5.8999999999999997E-2</v>
      </c>
      <c r="M18" s="216">
        <v>5.8999999999999997E-2</v>
      </c>
    </row>
    <row r="19" spans="2:13" x14ac:dyDescent="0.2">
      <c r="H19" s="284"/>
      <c r="L19" s="23"/>
    </row>
    <row r="20" spans="2:13" x14ac:dyDescent="0.2">
      <c r="B20" s="21" t="s">
        <v>70</v>
      </c>
      <c r="C20" s="27">
        <f>IS!C14/IS!C5</f>
        <v>9.6609133954482965E-2</v>
      </c>
      <c r="D20" s="27">
        <f>IS!D14/IS!D5</f>
        <v>9.1062067180117792E-2</v>
      </c>
      <c r="E20" s="27">
        <f>IS!E14/IS!E5</f>
        <v>9.0873283817240608E-2</v>
      </c>
      <c r="F20" s="27">
        <f>IS!F14/IS!F5</f>
        <v>8.2874988347161366E-2</v>
      </c>
      <c r="G20" s="27">
        <f>IS!G14/IS!G5</f>
        <v>8.1786291435103076E-2</v>
      </c>
      <c r="H20" s="265">
        <f>IS!H14/IS!H5</f>
        <v>7.7040482593211709E-2</v>
      </c>
      <c r="I20" s="219">
        <f t="shared" ref="I20:M20" ca="1" si="7">+OFFSET(I20,$C$2,)</f>
        <v>7.4999999999999997E-2</v>
      </c>
      <c r="J20" s="219">
        <f t="shared" ca="1" si="7"/>
        <v>7.3499999999999996E-2</v>
      </c>
      <c r="K20" s="219">
        <f t="shared" ca="1" si="7"/>
        <v>7.1999999999999995E-2</v>
      </c>
      <c r="L20" s="219">
        <f t="shared" ca="1" si="7"/>
        <v>7.0499999999999993E-2</v>
      </c>
      <c r="M20" s="219">
        <f t="shared" ca="1" si="7"/>
        <v>6.8999999999999992E-2</v>
      </c>
    </row>
    <row r="21" spans="2:13" x14ac:dyDescent="0.2">
      <c r="B21" t="s">
        <v>47</v>
      </c>
      <c r="H21" s="284"/>
      <c r="I21" s="216">
        <v>7.4999999999999997E-2</v>
      </c>
      <c r="J21" s="216">
        <f>I21-0.0015</f>
        <v>7.3499999999999996E-2</v>
      </c>
      <c r="K21" s="216">
        <f t="shared" ref="J21:M21" si="8">J21-0.0015</f>
        <v>7.1999999999999995E-2</v>
      </c>
      <c r="L21" s="216">
        <f t="shared" si="8"/>
        <v>7.0499999999999993E-2</v>
      </c>
      <c r="M21" s="216">
        <f t="shared" si="8"/>
        <v>6.8999999999999992E-2</v>
      </c>
    </row>
    <row r="22" spans="2:13" x14ac:dyDescent="0.2">
      <c r="B22" t="s">
        <v>52</v>
      </c>
      <c r="H22" s="284"/>
      <c r="I22" s="216">
        <f>I21-0.002</f>
        <v>7.2999999999999995E-2</v>
      </c>
      <c r="J22" s="216">
        <f t="shared" ref="I22:M22" si="9">J21</f>
        <v>7.3499999999999996E-2</v>
      </c>
      <c r="K22" s="216">
        <f t="shared" si="9"/>
        <v>7.1999999999999995E-2</v>
      </c>
      <c r="L22" s="216">
        <f t="shared" si="9"/>
        <v>7.0499999999999993E-2</v>
      </c>
      <c r="M22" s="216">
        <f t="shared" si="9"/>
        <v>6.8999999999999992E-2</v>
      </c>
    </row>
    <row r="23" spans="2:13" x14ac:dyDescent="0.2">
      <c r="B23" t="s">
        <v>53</v>
      </c>
      <c r="H23" s="284"/>
      <c r="I23" s="216">
        <v>7.8E-2</v>
      </c>
      <c r="J23" s="216">
        <f>I23-0.0015</f>
        <v>7.6499999999999999E-2</v>
      </c>
      <c r="K23" s="216">
        <f t="shared" ref="K23:M23" si="10">J23-0.0015</f>
        <v>7.4999999999999997E-2</v>
      </c>
      <c r="L23" s="216">
        <f t="shared" si="10"/>
        <v>7.3499999999999996E-2</v>
      </c>
      <c r="M23" s="216">
        <f t="shared" si="10"/>
        <v>7.1999999999999995E-2</v>
      </c>
    </row>
    <row r="24" spans="2:13" x14ac:dyDescent="0.2">
      <c r="H24" s="284"/>
    </row>
    <row r="25" spans="2:13" x14ac:dyDescent="0.2">
      <c r="B25" s="21" t="s">
        <v>185</v>
      </c>
      <c r="C25" s="22">
        <f>IS!C17/IS!C5</f>
        <v>9.6074537956315875E-2</v>
      </c>
      <c r="D25" s="22">
        <f>IS!D17/IS!D5</f>
        <v>0.11850365672124781</v>
      </c>
      <c r="E25" s="22">
        <f>IS!E17/IS!E5</f>
        <v>9.6275039387801034E-2</v>
      </c>
      <c r="F25" s="22">
        <f>IS!F17/IS!F5</f>
        <v>9.6485503868742425E-2</v>
      </c>
      <c r="G25" s="288">
        <f>IS!G17/IS!G5</f>
        <v>8.3323479563280914E-2</v>
      </c>
      <c r="H25" s="266">
        <f>IS!H17/IS!H5</f>
        <v>7.6277345737335564E-2</v>
      </c>
      <c r="I25" s="219">
        <f t="shared" ref="I25:M25" ca="1" si="11">+OFFSET(I25,$C$2,)</f>
        <v>7.3277345737335561E-2</v>
      </c>
      <c r="J25" s="219">
        <f t="shared" ca="1" si="11"/>
        <v>7.177734573733556E-2</v>
      </c>
      <c r="K25" s="219">
        <f t="shared" ca="1" si="11"/>
        <v>7.0277345737335559E-2</v>
      </c>
      <c r="L25" s="219">
        <f t="shared" ca="1" si="11"/>
        <v>6.8777345737335557E-2</v>
      </c>
      <c r="M25" s="219">
        <f t="shared" ca="1" si="11"/>
        <v>6.7277345737335556E-2</v>
      </c>
    </row>
    <row r="26" spans="2:13" x14ac:dyDescent="0.2">
      <c r="B26" t="s">
        <v>47</v>
      </c>
      <c r="H26" s="284"/>
      <c r="I26" s="216">
        <f>H25-0.003</f>
        <v>7.3277345737335561E-2</v>
      </c>
      <c r="J26" s="216">
        <f t="shared" ref="J26:M26" si="12">I26-0.0015</f>
        <v>7.177734573733556E-2</v>
      </c>
      <c r="K26" s="216">
        <f t="shared" si="12"/>
        <v>7.0277345737335559E-2</v>
      </c>
      <c r="L26" s="216">
        <f t="shared" si="12"/>
        <v>6.8777345737335557E-2</v>
      </c>
      <c r="M26" s="216">
        <f t="shared" si="12"/>
        <v>6.7277345737335556E-2</v>
      </c>
    </row>
    <row r="27" spans="2:13" x14ac:dyDescent="0.2">
      <c r="B27" t="s">
        <v>54</v>
      </c>
      <c r="H27" s="284"/>
      <c r="I27" s="216">
        <f>I26-0.0015</f>
        <v>7.177734573733556E-2</v>
      </c>
      <c r="J27" s="216">
        <f t="shared" ref="J27:M27" si="13">J26-0.0015</f>
        <v>7.0277345737335559E-2</v>
      </c>
      <c r="K27" s="216">
        <f t="shared" si="13"/>
        <v>6.8777345737335557E-2</v>
      </c>
      <c r="L27" s="216">
        <f t="shared" si="13"/>
        <v>6.7277345737335556E-2</v>
      </c>
      <c r="M27" s="216">
        <f t="shared" si="13"/>
        <v>6.5777345737335555E-2</v>
      </c>
    </row>
    <row r="28" spans="2:13" x14ac:dyDescent="0.2">
      <c r="B28" t="s">
        <v>53</v>
      </c>
      <c r="H28" s="284"/>
      <c r="I28" s="216">
        <v>7.8E-2</v>
      </c>
      <c r="J28" s="216">
        <f>I28-0.0015</f>
        <v>7.6499999999999999E-2</v>
      </c>
      <c r="K28" s="216">
        <f t="shared" ref="K28:M28" si="14">J28-0.0015</f>
        <v>7.4999999999999997E-2</v>
      </c>
      <c r="L28" s="216">
        <f t="shared" si="14"/>
        <v>7.3499999999999996E-2</v>
      </c>
      <c r="M28" s="216">
        <f t="shared" si="14"/>
        <v>7.1999999999999995E-2</v>
      </c>
    </row>
    <row r="29" spans="2:13" x14ac:dyDescent="0.2">
      <c r="H29" s="284"/>
    </row>
    <row r="30" spans="2:13" x14ac:dyDescent="0.2">
      <c r="B30" s="21" t="s">
        <v>55</v>
      </c>
      <c r="C30" s="22">
        <f>IS!C18/IS!C5</f>
        <v>6.1478539789216434E-2</v>
      </c>
      <c r="D30" s="22">
        <f>IS!D18/IS!D5</f>
        <v>5.0223286518671931E-2</v>
      </c>
      <c r="E30" s="22">
        <f>IS!E18/IS!E5</f>
        <v>5.1316677920324107E-2</v>
      </c>
      <c r="F30" s="22">
        <f>IS!F18/IS!F5</f>
        <v>5.5420900531369444E-2</v>
      </c>
      <c r="G30" s="288">
        <f>IS!G18/IS!G5</f>
        <v>4.9860076465255608E-2</v>
      </c>
      <c r="H30" s="266">
        <f>IS!H18/IS!H5</f>
        <v>4.7859582818518785E-2</v>
      </c>
      <c r="I30" s="219">
        <f t="shared" ref="I30:M30" ca="1" si="15">+OFFSET(I30,$C$2,)</f>
        <v>4.7859582818518785E-2</v>
      </c>
      <c r="J30" s="219">
        <f t="shared" ca="1" si="15"/>
        <v>4.7859582818518785E-2</v>
      </c>
      <c r="K30" s="219">
        <f t="shared" ca="1" si="15"/>
        <v>4.7859582818518785E-2</v>
      </c>
      <c r="L30" s="219">
        <f t="shared" ca="1" si="15"/>
        <v>4.7859582818518785E-2</v>
      </c>
      <c r="M30" s="219">
        <f t="shared" ca="1" si="15"/>
        <v>4.7859582818518785E-2</v>
      </c>
    </row>
    <row r="31" spans="2:13" x14ac:dyDescent="0.2">
      <c r="B31" t="s">
        <v>47</v>
      </c>
      <c r="H31" s="284"/>
      <c r="I31" s="216">
        <f>$H$30</f>
        <v>4.7859582818518785E-2</v>
      </c>
      <c r="J31" s="216">
        <f t="shared" ref="J31:M31" si="16">$H$30</f>
        <v>4.7859582818518785E-2</v>
      </c>
      <c r="K31" s="216">
        <f t="shared" si="16"/>
        <v>4.7859582818518785E-2</v>
      </c>
      <c r="L31" s="216">
        <f t="shared" si="16"/>
        <v>4.7859582818518785E-2</v>
      </c>
      <c r="M31" s="216">
        <f t="shared" si="16"/>
        <v>4.7859582818518785E-2</v>
      </c>
    </row>
    <row r="32" spans="2:13" x14ac:dyDescent="0.2">
      <c r="B32" t="s">
        <v>52</v>
      </c>
      <c r="H32" s="284"/>
      <c r="I32" s="216">
        <v>4.5999999999999999E-2</v>
      </c>
      <c r="J32" s="216">
        <f>I32</f>
        <v>4.5999999999999999E-2</v>
      </c>
      <c r="K32" s="216">
        <f t="shared" ref="K32:M32" si="17">J32</f>
        <v>4.5999999999999999E-2</v>
      </c>
      <c r="L32" s="216">
        <f t="shared" si="17"/>
        <v>4.5999999999999999E-2</v>
      </c>
      <c r="M32" s="216">
        <f t="shared" si="17"/>
        <v>4.5999999999999999E-2</v>
      </c>
    </row>
    <row r="33" spans="2:13" x14ac:dyDescent="0.2">
      <c r="B33" t="s">
        <v>53</v>
      </c>
      <c r="H33" s="284"/>
      <c r="I33" s="216">
        <v>4.8500000000000001E-2</v>
      </c>
      <c r="J33" s="216">
        <v>4.8500000000000001E-2</v>
      </c>
      <c r="K33" s="216">
        <v>4.8500000000000001E-2</v>
      </c>
      <c r="L33" s="216">
        <v>4.8500000000000001E-2</v>
      </c>
      <c r="M33" s="216">
        <v>4.8500000000000001E-2</v>
      </c>
    </row>
    <row r="34" spans="2:13" x14ac:dyDescent="0.2">
      <c r="H34" s="284"/>
    </row>
    <row r="35" spans="2:13" x14ac:dyDescent="0.2">
      <c r="B35" s="21" t="s">
        <v>56</v>
      </c>
      <c r="C35" s="22">
        <f>IS!C15/IS!C5</f>
        <v>8.7215518558118224E-2</v>
      </c>
      <c r="D35" s="22">
        <f>IS!D15/IS!D5</f>
        <v>8.5043039285483138E-2</v>
      </c>
      <c r="E35" s="22">
        <f>IS!E15/IS!E5</f>
        <v>7.3936529372045909E-2</v>
      </c>
      <c r="F35" s="22">
        <f>IS!F15/IS!F5</f>
        <v>8.674373077281626E-2</v>
      </c>
      <c r="G35" s="288">
        <f>IS!G15/IS!G5</f>
        <v>9.6369871112687716E-2</v>
      </c>
      <c r="H35" s="266">
        <f>IS!H15/IS!H5</f>
        <v>8.2019042081546631E-2</v>
      </c>
      <c r="I35" s="219">
        <f t="shared" ref="I35:M35" ca="1" si="18">+OFFSET(I35,$C$2,)</f>
        <v>8.2500000000000004E-2</v>
      </c>
      <c r="J35" s="219">
        <f t="shared" ca="1" si="18"/>
        <v>8.1500000000000003E-2</v>
      </c>
      <c r="K35" s="219">
        <f t="shared" ca="1" si="18"/>
        <v>8.0500000000000002E-2</v>
      </c>
      <c r="L35" s="219">
        <f t="shared" ca="1" si="18"/>
        <v>7.9500000000000001E-2</v>
      </c>
      <c r="M35" s="219">
        <f t="shared" ca="1" si="18"/>
        <v>7.85E-2</v>
      </c>
    </row>
    <row r="36" spans="2:13" x14ac:dyDescent="0.2">
      <c r="B36" t="s">
        <v>47</v>
      </c>
      <c r="H36" s="284"/>
      <c r="I36" s="216">
        <f>0.0825</f>
        <v>8.2500000000000004E-2</v>
      </c>
      <c r="J36" s="216">
        <f>I36-0.001</f>
        <v>8.1500000000000003E-2</v>
      </c>
      <c r="K36" s="216">
        <f t="shared" ref="K36:M36" si="19">J36-0.001</f>
        <v>8.0500000000000002E-2</v>
      </c>
      <c r="L36" s="216">
        <f t="shared" si="19"/>
        <v>7.9500000000000001E-2</v>
      </c>
      <c r="M36" s="216">
        <f t="shared" si="19"/>
        <v>7.85E-2</v>
      </c>
    </row>
    <row r="37" spans="2:13" x14ac:dyDescent="0.2">
      <c r="B37" t="s">
        <v>52</v>
      </c>
      <c r="F37" s="27"/>
      <c r="H37" s="284"/>
      <c r="I37" s="216">
        <f t="shared" ref="I37:M37" si="20">I36-0.0025</f>
        <v>0.08</v>
      </c>
      <c r="J37" s="216">
        <f t="shared" si="20"/>
        <v>7.9000000000000001E-2</v>
      </c>
      <c r="K37" s="216">
        <f t="shared" si="20"/>
        <v>7.8E-2</v>
      </c>
      <c r="L37" s="216">
        <f t="shared" si="20"/>
        <v>7.6999999999999999E-2</v>
      </c>
      <c r="M37" s="216">
        <f t="shared" si="20"/>
        <v>7.5999999999999998E-2</v>
      </c>
    </row>
    <row r="38" spans="2:13" x14ac:dyDescent="0.2">
      <c r="B38" t="s">
        <v>53</v>
      </c>
      <c r="H38" s="284"/>
      <c r="I38" s="216">
        <f>I37+0.004</f>
        <v>8.4000000000000005E-2</v>
      </c>
      <c r="J38" s="216">
        <f t="shared" ref="J38:M38" si="21">J37+0.004</f>
        <v>8.3000000000000004E-2</v>
      </c>
      <c r="K38" s="216">
        <f t="shared" si="21"/>
        <v>8.2000000000000003E-2</v>
      </c>
      <c r="L38" s="216">
        <f t="shared" si="21"/>
        <v>8.1000000000000003E-2</v>
      </c>
      <c r="M38" s="216">
        <f t="shared" si="21"/>
        <v>0.08</v>
      </c>
    </row>
    <row r="39" spans="2:13" x14ac:dyDescent="0.2">
      <c r="H39" s="284"/>
    </row>
    <row r="40" spans="2:13" x14ac:dyDescent="0.2">
      <c r="B40" s="21" t="s">
        <v>186</v>
      </c>
      <c r="C40" s="22">
        <f>IS!C16/IS!C5</f>
        <v>7.2781426607606531E-2</v>
      </c>
      <c r="D40" s="22">
        <f>IS!D16/IS!D5</f>
        <v>6.9315901883373249E-2</v>
      </c>
      <c r="E40" s="22">
        <f>IS!E16/IS!E5</f>
        <v>6.6002700877785286E-2</v>
      </c>
      <c r="F40" s="22">
        <f>IS!F16/IS!F5</f>
        <v>6.772629812622355E-2</v>
      </c>
      <c r="G40" s="288">
        <f>IS!G16/IS!G5</f>
        <v>6.9882937211777227E-2</v>
      </c>
      <c r="H40" s="266">
        <f>IS!H16/IS!H5</f>
        <v>7.0353950141725421E-2</v>
      </c>
      <c r="I40" s="219">
        <f t="shared" ref="I40:M40" ca="1" si="22">+OFFSET(I40,$C$2,)</f>
        <v>6.8000000000000005E-2</v>
      </c>
      <c r="J40" s="219">
        <f t="shared" ca="1" si="22"/>
        <v>6.8000000000000005E-2</v>
      </c>
      <c r="K40" s="219">
        <f t="shared" ca="1" si="22"/>
        <v>6.8000000000000005E-2</v>
      </c>
      <c r="L40" s="219">
        <f t="shared" ca="1" si="22"/>
        <v>6.8000000000000005E-2</v>
      </c>
      <c r="M40" s="219">
        <f t="shared" ca="1" si="22"/>
        <v>6.8000000000000005E-2</v>
      </c>
    </row>
    <row r="41" spans="2:13" x14ac:dyDescent="0.2">
      <c r="B41" t="s">
        <v>47</v>
      </c>
      <c r="H41" s="284"/>
      <c r="I41" s="216">
        <v>6.8000000000000005E-2</v>
      </c>
      <c r="J41" s="216">
        <v>6.8000000000000005E-2</v>
      </c>
      <c r="K41" s="216">
        <v>6.8000000000000005E-2</v>
      </c>
      <c r="L41" s="216">
        <v>6.8000000000000005E-2</v>
      </c>
      <c r="M41" s="216">
        <v>6.8000000000000005E-2</v>
      </c>
    </row>
    <row r="42" spans="2:13" x14ac:dyDescent="0.2">
      <c r="B42" t="s">
        <v>52</v>
      </c>
      <c r="H42" s="284"/>
      <c r="I42" s="216">
        <f t="shared" ref="I42:M42" si="23">0.06</f>
        <v>0.06</v>
      </c>
      <c r="J42" s="216">
        <f t="shared" si="23"/>
        <v>0.06</v>
      </c>
      <c r="K42" s="216">
        <f t="shared" si="23"/>
        <v>0.06</v>
      </c>
      <c r="L42" s="216">
        <f t="shared" si="23"/>
        <v>0.06</v>
      </c>
      <c r="M42" s="216">
        <f t="shared" si="23"/>
        <v>0.06</v>
      </c>
    </row>
    <row r="43" spans="2:13" x14ac:dyDescent="0.2">
      <c r="B43" t="s">
        <v>53</v>
      </c>
      <c r="H43" s="284"/>
      <c r="I43" s="216">
        <v>7.4999999999999997E-2</v>
      </c>
      <c r="J43" s="216">
        <v>7.4999999999999997E-2</v>
      </c>
      <c r="K43" s="216">
        <v>7.4999999999999997E-2</v>
      </c>
      <c r="L43" s="216">
        <v>7.4999999999999997E-2</v>
      </c>
      <c r="M43" s="216">
        <v>7.4999999999999997E-2</v>
      </c>
    </row>
    <row r="44" spans="2:13" x14ac:dyDescent="0.2">
      <c r="H44" s="284"/>
    </row>
    <row r="45" spans="2:13" x14ac:dyDescent="0.2">
      <c r="B45" s="21" t="s">
        <v>57</v>
      </c>
      <c r="C45" s="22">
        <f>IS!C19/IS!C5</f>
        <v>1.0080953108293876E-2</v>
      </c>
      <c r="D45" s="22">
        <f>IS!D19/IS!D5</f>
        <v>1.9998705585399002E-2</v>
      </c>
      <c r="E45" s="22">
        <f>IS!E19/IS!E5</f>
        <v>3.9950483907269865E-3</v>
      </c>
      <c r="F45" s="22">
        <f>IS!F19/IS!F5</f>
        <v>6.4789782791087906E-3</v>
      </c>
      <c r="G45" s="288">
        <f>IS!G19/IS!G5</f>
        <v>2.44373497300067E-3</v>
      </c>
      <c r="H45" s="266">
        <f>IS!H19/IS!H5</f>
        <v>7.5223490079220877E-3</v>
      </c>
      <c r="I45" s="219">
        <f t="shared" ref="I45:M45" ca="1" si="24">+OFFSET(I45,$C$2,)</f>
        <v>2.44373497300067E-3</v>
      </c>
      <c r="J45" s="219">
        <f t="shared" ca="1" si="24"/>
        <v>2.44373497300067E-3</v>
      </c>
      <c r="K45" s="219">
        <f t="shared" ca="1" si="24"/>
        <v>2.44373497300067E-3</v>
      </c>
      <c r="L45" s="219">
        <f t="shared" ca="1" si="24"/>
        <v>2.44373497300067E-3</v>
      </c>
      <c r="M45" s="219">
        <f t="shared" ca="1" si="24"/>
        <v>2.44373497300067E-3</v>
      </c>
    </row>
    <row r="46" spans="2:13" x14ac:dyDescent="0.2">
      <c r="B46" t="s">
        <v>47</v>
      </c>
      <c r="H46" s="284"/>
      <c r="I46" s="216">
        <f t="shared" ref="I46:M48" si="25">$G$45</f>
        <v>2.44373497300067E-3</v>
      </c>
      <c r="J46" s="216">
        <f t="shared" si="25"/>
        <v>2.44373497300067E-3</v>
      </c>
      <c r="K46" s="216">
        <f t="shared" si="25"/>
        <v>2.44373497300067E-3</v>
      </c>
      <c r="L46" s="216">
        <f t="shared" si="25"/>
        <v>2.44373497300067E-3</v>
      </c>
      <c r="M46" s="216">
        <f t="shared" si="25"/>
        <v>2.44373497300067E-3</v>
      </c>
    </row>
    <row r="47" spans="2:13" x14ac:dyDescent="0.2">
      <c r="B47" t="s">
        <v>52</v>
      </c>
      <c r="H47" s="284"/>
      <c r="I47" s="216">
        <f t="shared" si="25"/>
        <v>2.44373497300067E-3</v>
      </c>
      <c r="J47" s="216">
        <f t="shared" si="25"/>
        <v>2.44373497300067E-3</v>
      </c>
      <c r="K47" s="216">
        <f t="shared" si="25"/>
        <v>2.44373497300067E-3</v>
      </c>
      <c r="L47" s="216">
        <f t="shared" si="25"/>
        <v>2.44373497300067E-3</v>
      </c>
      <c r="M47" s="216">
        <f t="shared" si="25"/>
        <v>2.44373497300067E-3</v>
      </c>
    </row>
    <row r="48" spans="2:13" x14ac:dyDescent="0.2">
      <c r="B48" t="s">
        <v>53</v>
      </c>
      <c r="H48" s="284"/>
      <c r="I48" s="216">
        <f t="shared" si="25"/>
        <v>2.44373497300067E-3</v>
      </c>
      <c r="J48" s="216">
        <f t="shared" si="25"/>
        <v>2.44373497300067E-3</v>
      </c>
      <c r="K48" s="216">
        <f t="shared" si="25"/>
        <v>2.44373497300067E-3</v>
      </c>
      <c r="L48" s="216">
        <f t="shared" si="25"/>
        <v>2.44373497300067E-3</v>
      </c>
      <c r="M48" s="216">
        <f t="shared" si="25"/>
        <v>2.44373497300067E-3</v>
      </c>
    </row>
    <row r="49" spans="2:13" x14ac:dyDescent="0.2">
      <c r="H49" s="284"/>
    </row>
    <row r="50" spans="2:13" x14ac:dyDescent="0.2">
      <c r="B50" s="224" t="s">
        <v>71</v>
      </c>
      <c r="C50" s="27">
        <f>IS!C24/IS!C5</f>
        <v>6.4915228348862075E-3</v>
      </c>
      <c r="D50" s="27">
        <f>IS!D24/IS!D5</f>
        <v>1.0873082648372273E-2</v>
      </c>
      <c r="E50" s="27">
        <f>IS!E24/IS!E5</f>
        <v>1.1084852577087554E-2</v>
      </c>
      <c r="F50" s="27">
        <f>IS!F24/IS!F5</f>
        <v>4.1017991982847017E-3</v>
      </c>
      <c r="G50" s="27">
        <f>IS!G24/IS!G5</f>
        <v>2.2466595719522289E-3</v>
      </c>
      <c r="H50" s="265">
        <f>IS!H24/IS!H5</f>
        <v>6.3231339486881314E-3</v>
      </c>
      <c r="I50" s="219">
        <f t="shared" ref="I50:M50" ca="1" si="26">+OFFSET(I50,$C$2,)</f>
        <v>5.0000000000000001E-3</v>
      </c>
      <c r="J50" s="219">
        <f t="shared" ca="1" si="26"/>
        <v>5.0000000000000001E-3</v>
      </c>
      <c r="K50" s="219">
        <f t="shared" ca="1" si="26"/>
        <v>5.0000000000000001E-3</v>
      </c>
      <c r="L50" s="219">
        <f t="shared" ca="1" si="26"/>
        <v>5.0000000000000001E-3</v>
      </c>
      <c r="M50" s="219">
        <f t="shared" ca="1" si="26"/>
        <v>5.0000000000000001E-3</v>
      </c>
    </row>
    <row r="51" spans="2:13" x14ac:dyDescent="0.2">
      <c r="B51" s="217" t="s">
        <v>47</v>
      </c>
      <c r="H51" s="284"/>
      <c r="I51" s="216">
        <v>5.0000000000000001E-3</v>
      </c>
      <c r="J51" s="216">
        <v>5.0000000000000001E-3</v>
      </c>
      <c r="K51" s="216">
        <v>5.0000000000000001E-3</v>
      </c>
      <c r="L51" s="216">
        <v>5.0000000000000001E-3</v>
      </c>
      <c r="M51" s="216">
        <v>5.0000000000000001E-3</v>
      </c>
    </row>
    <row r="52" spans="2:13" x14ac:dyDescent="0.2">
      <c r="B52" s="217" t="s">
        <v>52</v>
      </c>
      <c r="H52" s="284"/>
      <c r="I52" s="216">
        <v>6.0000000000000001E-3</v>
      </c>
      <c r="J52" s="216">
        <v>6.0000000000000001E-3</v>
      </c>
      <c r="K52" s="216">
        <v>6.0000000000000001E-3</v>
      </c>
      <c r="L52" s="216">
        <v>6.0000000000000001E-3</v>
      </c>
      <c r="M52" s="216">
        <v>6.0000000000000001E-3</v>
      </c>
    </row>
    <row r="53" spans="2:13" x14ac:dyDescent="0.2">
      <c r="B53" s="217" t="s">
        <v>53</v>
      </c>
      <c r="H53" s="284"/>
      <c r="I53" s="216">
        <v>4.0000000000000001E-3</v>
      </c>
      <c r="J53" s="216">
        <v>4.0000000000000001E-3</v>
      </c>
      <c r="K53" s="216">
        <v>4.0000000000000001E-3</v>
      </c>
      <c r="L53" s="216">
        <v>4.0000000000000001E-3</v>
      </c>
      <c r="M53" s="216">
        <v>4.0000000000000001E-3</v>
      </c>
    </row>
    <row r="54" spans="2:13" x14ac:dyDescent="0.2">
      <c r="B54" s="217"/>
      <c r="H54" s="284"/>
    </row>
    <row r="55" spans="2:13" x14ac:dyDescent="0.2">
      <c r="B55" s="224" t="s">
        <v>58</v>
      </c>
      <c r="C55" s="22">
        <f>-IS!C25/IS!C5</f>
        <v>5.3459599816709944E-4</v>
      </c>
      <c r="D55" s="22">
        <f>-IS!D25/IS!D5</f>
        <v>4.9834962138372921E-3</v>
      </c>
      <c r="E55" s="22">
        <f>-IS!E25/IS!E5</f>
        <v>6.470853027233851E-3</v>
      </c>
      <c r="F55" s="22">
        <f>-IS!F25/IS!F5</f>
        <v>9.7417730959261668E-3</v>
      </c>
      <c r="G55" s="288">
        <f>-IS!G25/IS!G5</f>
        <v>9.1442986086476691E-3</v>
      </c>
      <c r="H55" s="266">
        <f>-IS!H25/IS!H5</f>
        <v>1.1047314485064321E-2</v>
      </c>
      <c r="I55" s="219">
        <f t="shared" ref="I55:M55" ca="1" si="27">+OFFSET(I55,$C$2,)</f>
        <v>8.9999999999999993E-3</v>
      </c>
      <c r="J55" s="219">
        <f t="shared" ca="1" si="27"/>
        <v>8.9999999999999993E-3</v>
      </c>
      <c r="K55" s="219">
        <f t="shared" ca="1" si="27"/>
        <v>8.9999999999999993E-3</v>
      </c>
      <c r="L55" s="219">
        <f t="shared" ca="1" si="27"/>
        <v>8.9999999999999993E-3</v>
      </c>
      <c r="M55" s="219">
        <f t="shared" ca="1" si="27"/>
        <v>8.9999999999999993E-3</v>
      </c>
    </row>
    <row r="56" spans="2:13" x14ac:dyDescent="0.2">
      <c r="B56" s="217" t="s">
        <v>47</v>
      </c>
      <c r="H56" s="284"/>
      <c r="I56" s="216">
        <f t="shared" ref="I56:M56" si="28">0.009</f>
        <v>8.9999999999999993E-3</v>
      </c>
      <c r="J56" s="216">
        <f t="shared" si="28"/>
        <v>8.9999999999999993E-3</v>
      </c>
      <c r="K56" s="216">
        <f t="shared" si="28"/>
        <v>8.9999999999999993E-3</v>
      </c>
      <c r="L56" s="216">
        <f t="shared" si="28"/>
        <v>8.9999999999999993E-3</v>
      </c>
      <c r="M56" s="216">
        <f t="shared" si="28"/>
        <v>8.9999999999999993E-3</v>
      </c>
    </row>
    <row r="57" spans="2:13" x14ac:dyDescent="0.2">
      <c r="B57" s="217" t="s">
        <v>52</v>
      </c>
      <c r="H57" s="284"/>
      <c r="I57" s="216">
        <v>8.0000000000000002E-3</v>
      </c>
      <c r="J57" s="216">
        <v>8.0000000000000002E-3</v>
      </c>
      <c r="K57" s="216">
        <v>8.0000000000000002E-3</v>
      </c>
      <c r="L57" s="216">
        <v>8.0000000000000002E-3</v>
      </c>
      <c r="M57" s="216">
        <v>8.0000000000000002E-3</v>
      </c>
    </row>
    <row r="58" spans="2:13" x14ac:dyDescent="0.2">
      <c r="B58" s="217" t="s">
        <v>53</v>
      </c>
      <c r="H58" s="284"/>
      <c r="I58" s="216">
        <f>I56+0.0005</f>
        <v>9.4999999999999998E-3</v>
      </c>
      <c r="J58" s="216">
        <f t="shared" ref="J58:M58" si="29">J56+0.0005</f>
        <v>9.4999999999999998E-3</v>
      </c>
      <c r="K58" s="216">
        <f t="shared" si="29"/>
        <v>9.4999999999999998E-3</v>
      </c>
      <c r="L58" s="216">
        <f t="shared" si="29"/>
        <v>9.4999999999999998E-3</v>
      </c>
      <c r="M58" s="216">
        <f t="shared" si="29"/>
        <v>9.4999999999999998E-3</v>
      </c>
    </row>
    <row r="59" spans="2:13" x14ac:dyDescent="0.2">
      <c r="B59" s="217"/>
      <c r="H59" s="284"/>
    </row>
    <row r="60" spans="2:13" x14ac:dyDescent="0.2">
      <c r="B60" s="224" t="s">
        <v>72</v>
      </c>
      <c r="C60" s="22">
        <f>IS!C26/IS!C5</f>
        <v>0</v>
      </c>
      <c r="D60" s="22">
        <f>IS!D26/IS!D5</f>
        <v>0</v>
      </c>
      <c r="E60" s="22">
        <f>IS!E26/IS!E5</f>
        <v>1.1703803736214269E-2</v>
      </c>
      <c r="F60" s="22">
        <f>IS!F26/IS!F5</f>
        <v>8.9214132562692269E-2</v>
      </c>
      <c r="G60" s="288">
        <f>IS!G26/IS!G5</f>
        <v>1.8130936896456585E-3</v>
      </c>
      <c r="H60" s="266">
        <f>IS!H26/IS!H5</f>
        <v>-1.1047314485064321E-2</v>
      </c>
      <c r="I60" s="219">
        <f t="shared" ref="I60:M60" ca="1" si="30">+OFFSET(I60,$C$2,)</f>
        <v>-5.0000000000000001E-3</v>
      </c>
      <c r="J60" s="219">
        <f t="shared" ca="1" si="30"/>
        <v>0.01</v>
      </c>
      <c r="K60" s="219">
        <f t="shared" ca="1" si="30"/>
        <v>0.01</v>
      </c>
      <c r="L60" s="219">
        <f t="shared" ca="1" si="30"/>
        <v>0.01</v>
      </c>
      <c r="M60" s="219">
        <f t="shared" ca="1" si="30"/>
        <v>0.01</v>
      </c>
    </row>
    <row r="61" spans="2:13" x14ac:dyDescent="0.2">
      <c r="B61" s="217" t="s">
        <v>47</v>
      </c>
      <c r="H61" s="284"/>
      <c r="I61" s="216">
        <v>-5.0000000000000001E-3</v>
      </c>
      <c r="J61" s="216">
        <v>0.01</v>
      </c>
      <c r="K61" s="216">
        <v>0.01</v>
      </c>
      <c r="L61" s="216">
        <v>0.01</v>
      </c>
      <c r="M61" s="216">
        <v>0.01</v>
      </c>
    </row>
    <row r="62" spans="2:13" x14ac:dyDescent="0.2">
      <c r="B62" s="217" t="s">
        <v>52</v>
      </c>
      <c r="H62" s="284"/>
      <c r="I62" s="216">
        <v>0</v>
      </c>
      <c r="J62" s="216">
        <f t="shared" ref="J62" si="31">J61</f>
        <v>0.01</v>
      </c>
      <c r="K62" s="216">
        <f>J62+0.0025</f>
        <v>1.2500000000000001E-2</v>
      </c>
      <c r="L62" s="216">
        <f t="shared" ref="L62:M62" si="32">K62+0.0025</f>
        <v>1.5000000000000001E-2</v>
      </c>
      <c r="M62" s="216">
        <f t="shared" si="32"/>
        <v>1.7500000000000002E-2</v>
      </c>
    </row>
    <row r="63" spans="2:13" x14ac:dyDescent="0.2">
      <c r="B63" s="217" t="s">
        <v>53</v>
      </c>
      <c r="H63" s="284"/>
      <c r="I63" s="216">
        <v>-0.01</v>
      </c>
      <c r="J63" s="216">
        <f>I63+0.0025</f>
        <v>-7.4999999999999997E-3</v>
      </c>
      <c r="K63" s="216">
        <f t="shared" ref="K63:M63" si="33">J63+0.0025</f>
        <v>-4.9999999999999992E-3</v>
      </c>
      <c r="L63" s="216">
        <f t="shared" si="33"/>
        <v>-2.4999999999999992E-3</v>
      </c>
      <c r="M63" s="216">
        <f t="shared" si="33"/>
        <v>0</v>
      </c>
    </row>
    <row r="64" spans="2:13" x14ac:dyDescent="0.2">
      <c r="B64" s="217"/>
      <c r="H64" s="284"/>
    </row>
    <row r="65" spans="2:13" x14ac:dyDescent="0.2">
      <c r="B65" s="224" t="s">
        <v>73</v>
      </c>
      <c r="C65" s="27">
        <f>IS!C31</f>
        <v>0.18409090909090908</v>
      </c>
      <c r="D65" s="27">
        <f>IS!D31</f>
        <v>0.13425925925925927</v>
      </c>
      <c r="E65" s="27">
        <f>IS!E31</f>
        <v>0.17978652434956638</v>
      </c>
      <c r="F65" s="27">
        <f>IS!F31</f>
        <v>0.17038499506416585</v>
      </c>
      <c r="G65" s="27">
        <f>IS!G31</f>
        <v>-1.7077335935594046E-2</v>
      </c>
      <c r="H65" s="265">
        <f>IS!H31</f>
        <v>0.28134284016636957</v>
      </c>
      <c r="I65" s="219">
        <f t="shared" ref="I65:M65" ca="1" si="34">+OFFSET(I65,$C$2,)</f>
        <v>0.18</v>
      </c>
      <c r="J65" s="219">
        <f t="shared" ca="1" si="34"/>
        <v>0.18</v>
      </c>
      <c r="K65" s="219">
        <f t="shared" ca="1" si="34"/>
        <v>0.18</v>
      </c>
      <c r="L65" s="219">
        <f t="shared" ca="1" si="34"/>
        <v>0.18</v>
      </c>
      <c r="M65" s="219">
        <f t="shared" ca="1" si="34"/>
        <v>0.18</v>
      </c>
    </row>
    <row r="66" spans="2:13" x14ac:dyDescent="0.2">
      <c r="B66" s="217" t="s">
        <v>47</v>
      </c>
      <c r="C66" s="27"/>
      <c r="D66" s="27"/>
      <c r="E66" s="27"/>
      <c r="F66" s="27"/>
      <c r="G66" s="27"/>
      <c r="H66" s="285"/>
      <c r="I66" s="216">
        <v>0.18</v>
      </c>
      <c r="J66" s="216">
        <v>0.18</v>
      </c>
      <c r="K66" s="216">
        <v>0.18</v>
      </c>
      <c r="L66" s="216">
        <v>0.18</v>
      </c>
      <c r="M66" s="216">
        <v>0.18</v>
      </c>
    </row>
    <row r="67" spans="2:13" x14ac:dyDescent="0.2">
      <c r="B67" s="217" t="s">
        <v>52</v>
      </c>
      <c r="C67" s="27"/>
      <c r="D67" s="27"/>
      <c r="E67" s="27"/>
      <c r="F67" s="27"/>
      <c r="G67" s="27"/>
      <c r="H67" s="285"/>
      <c r="I67" s="216">
        <f t="shared" ref="I67:M67" si="35">0.17</f>
        <v>0.17</v>
      </c>
      <c r="J67" s="216">
        <f t="shared" si="35"/>
        <v>0.17</v>
      </c>
      <c r="K67" s="216">
        <f t="shared" si="35"/>
        <v>0.17</v>
      </c>
      <c r="L67" s="216">
        <f t="shared" si="35"/>
        <v>0.17</v>
      </c>
      <c r="M67" s="216">
        <f t="shared" si="35"/>
        <v>0.17</v>
      </c>
    </row>
    <row r="68" spans="2:13" x14ac:dyDescent="0.2">
      <c r="B68" s="217" t="s">
        <v>53</v>
      </c>
      <c r="C68" s="27"/>
      <c r="D68" s="27"/>
      <c r="E68" s="27"/>
      <c r="F68" s="27"/>
      <c r="G68" s="27"/>
      <c r="H68" s="285"/>
      <c r="I68" s="216">
        <f>0.185</f>
        <v>0.185</v>
      </c>
      <c r="J68" s="216">
        <f t="shared" ref="J68:M68" si="36">0.185</f>
        <v>0.185</v>
      </c>
      <c r="K68" s="216">
        <f t="shared" si="36"/>
        <v>0.185</v>
      </c>
      <c r="L68" s="216">
        <f t="shared" si="36"/>
        <v>0.185</v>
      </c>
      <c r="M68" s="216">
        <f t="shared" si="36"/>
        <v>0.185</v>
      </c>
    </row>
    <row r="69" spans="2:13" x14ac:dyDescent="0.2">
      <c r="B69" s="217"/>
      <c r="H69" s="284"/>
    </row>
    <row r="70" spans="2:13" x14ac:dyDescent="0.2">
      <c r="B70" s="224" t="s">
        <v>59</v>
      </c>
      <c r="C70" s="22">
        <f>-Cash!C19/IS!C5</f>
        <v>5.0939361539636477E-2</v>
      </c>
      <c r="D70" s="22">
        <f>-Cash!D19/IS!D5</f>
        <v>5.3265160831014173E-2</v>
      </c>
      <c r="E70" s="22">
        <f>-Cash!E19/IS!E5</f>
        <v>3.9612874184109838E-2</v>
      </c>
      <c r="F70" s="22">
        <f>-Cash!F19/IS!F5</f>
        <v>4.0365433019483546E-2</v>
      </c>
      <c r="G70" s="288">
        <f>-Cash!G19/IS!G5</f>
        <v>3.5788892830396907E-2</v>
      </c>
      <c r="H70" s="266">
        <f>-Cash!H19/IS!H5</f>
        <v>2.5655934297550694E-2</v>
      </c>
      <c r="I70" s="219">
        <f t="shared" ref="I70:M70" ca="1" si="37">+OFFSET(I70,$C$2,)</f>
        <v>2.8000000000000001E-2</v>
      </c>
      <c r="J70" s="219">
        <f t="shared" ca="1" si="37"/>
        <v>2.7E-2</v>
      </c>
      <c r="K70" s="219">
        <f t="shared" ca="1" si="37"/>
        <v>2.5999999999999999E-2</v>
      </c>
      <c r="L70" s="219">
        <f t="shared" ca="1" si="37"/>
        <v>2.4999999999999998E-2</v>
      </c>
      <c r="M70" s="219">
        <f t="shared" ca="1" si="37"/>
        <v>2.5000000000000001E-2</v>
      </c>
    </row>
    <row r="71" spans="2:13" x14ac:dyDescent="0.2">
      <c r="B71" t="s">
        <v>47</v>
      </c>
      <c r="H71" s="284"/>
      <c r="I71" s="216">
        <v>2.8000000000000001E-2</v>
      </c>
      <c r="J71" s="216">
        <v>2.7E-2</v>
      </c>
      <c r="K71" s="216">
        <f>J71-0-0.001</f>
        <v>2.5999999999999999E-2</v>
      </c>
      <c r="L71" s="216">
        <f t="shared" ref="L71:M71" si="38">K71-0-0.001</f>
        <v>2.4999999999999998E-2</v>
      </c>
      <c r="M71" s="216">
        <f>0.025</f>
        <v>2.5000000000000001E-2</v>
      </c>
    </row>
    <row r="72" spans="2:13" x14ac:dyDescent="0.2">
      <c r="B72" t="s">
        <v>52</v>
      </c>
      <c r="H72" s="284"/>
      <c r="I72" s="216">
        <f>0.025</f>
        <v>2.5000000000000001E-2</v>
      </c>
      <c r="J72" s="216">
        <f t="shared" ref="J72:M72" si="39">0.025</f>
        <v>2.5000000000000001E-2</v>
      </c>
      <c r="K72" s="216">
        <f t="shared" si="39"/>
        <v>2.5000000000000001E-2</v>
      </c>
      <c r="L72" s="216">
        <f t="shared" si="39"/>
        <v>2.5000000000000001E-2</v>
      </c>
      <c r="M72" s="216">
        <f t="shared" si="39"/>
        <v>2.5000000000000001E-2</v>
      </c>
    </row>
    <row r="73" spans="2:13" x14ac:dyDescent="0.2">
      <c r="B73" t="s">
        <v>53</v>
      </c>
      <c r="H73" s="284"/>
      <c r="I73" s="216">
        <v>3.5000000000000003E-2</v>
      </c>
      <c r="J73" s="216">
        <v>3.5000000000000003E-2</v>
      </c>
      <c r="K73" s="216">
        <v>3.5000000000000003E-2</v>
      </c>
      <c r="L73" s="216">
        <v>3.5000000000000003E-2</v>
      </c>
      <c r="M73" s="216">
        <v>3.5000000000000003E-2</v>
      </c>
    </row>
    <row r="74" spans="2:13" x14ac:dyDescent="0.2">
      <c r="H74" s="286"/>
    </row>
    <row r="75" spans="2:13" x14ac:dyDescent="0.2">
      <c r="H75" s="286"/>
      <c r="I75" s="27"/>
    </row>
    <row r="76" spans="2:13" x14ac:dyDescent="0.2">
      <c r="H76" s="286"/>
    </row>
    <row r="77" spans="2:13" x14ac:dyDescent="0.2">
      <c r="H77" s="286"/>
    </row>
    <row r="78" spans="2:13" x14ac:dyDescent="0.2">
      <c r="H78" s="286"/>
    </row>
    <row r="79" spans="2:13" x14ac:dyDescent="0.2">
      <c r="H79" s="286"/>
    </row>
    <row r="80" spans="2:13" x14ac:dyDescent="0.2">
      <c r="H80" s="286"/>
    </row>
    <row r="81" spans="8:8" x14ac:dyDescent="0.2">
      <c r="H81" s="286"/>
    </row>
    <row r="82" spans="8:8" x14ac:dyDescent="0.2">
      <c r="H82" s="286"/>
    </row>
    <row r="83" spans="8:8" x14ac:dyDescent="0.2">
      <c r="H83" s="286"/>
    </row>
    <row r="84" spans="8:8" x14ac:dyDescent="0.2">
      <c r="H84" s="286"/>
    </row>
    <row r="85" spans="8:8" x14ac:dyDescent="0.2">
      <c r="H85" s="286"/>
    </row>
    <row r="86" spans="8:8" x14ac:dyDescent="0.2">
      <c r="H86" s="286"/>
    </row>
    <row r="87" spans="8:8" x14ac:dyDescent="0.2">
      <c r="H87" s="286"/>
    </row>
    <row r="88" spans="8:8" x14ac:dyDescent="0.2">
      <c r="H88" s="286"/>
    </row>
    <row r="89" spans="8:8" x14ac:dyDescent="0.2">
      <c r="H89" s="286"/>
    </row>
    <row r="90" spans="8:8" x14ac:dyDescent="0.2">
      <c r="H90" s="286"/>
    </row>
    <row r="91" spans="8:8" x14ac:dyDescent="0.2">
      <c r="H91" s="286"/>
    </row>
    <row r="92" spans="8:8" x14ac:dyDescent="0.2">
      <c r="H92" s="286"/>
    </row>
    <row r="93" spans="8:8" x14ac:dyDescent="0.2">
      <c r="H93" s="286"/>
    </row>
    <row r="94" spans="8:8" x14ac:dyDescent="0.2">
      <c r="H94" s="286"/>
    </row>
    <row r="95" spans="8:8" x14ac:dyDescent="0.2">
      <c r="H95" s="286"/>
    </row>
    <row r="96" spans="8:8" x14ac:dyDescent="0.2">
      <c r="H96" s="286"/>
    </row>
    <row r="97" spans="8:8" x14ac:dyDescent="0.2">
      <c r="H97" s="286"/>
    </row>
    <row r="98" spans="8:8" x14ac:dyDescent="0.2">
      <c r="H98" s="286"/>
    </row>
    <row r="99" spans="8:8" x14ac:dyDescent="0.2">
      <c r="H99" s="286"/>
    </row>
    <row r="100" spans="8:8" x14ac:dyDescent="0.2">
      <c r="H100" s="286"/>
    </row>
    <row r="101" spans="8:8" x14ac:dyDescent="0.2">
      <c r="H101" s="286"/>
    </row>
    <row r="102" spans="8:8" x14ac:dyDescent="0.2">
      <c r="H102" s="286"/>
    </row>
  </sheetData>
  <pageMargins left="0.7" right="0.7" top="0.75" bottom="0.75" header="0.3" footer="0.3"/>
  <pageSetup orientation="portrait" verticalDpi="0" r:id="rId1"/>
  <ignoredErrors>
    <ignoredError sqref="J27:M27 J22:M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5D30-5596-49E8-984E-B41EC0272483}">
  <dimension ref="B1:M43"/>
  <sheetViews>
    <sheetView showGridLines="0" zoomScale="131" zoomScaleNormal="91" workbookViewId="0">
      <pane ySplit="4" topLeftCell="A5" activePane="bottomLeft" state="frozen"/>
      <selection pane="bottomLeft" activeCell="B16" sqref="B16"/>
    </sheetView>
  </sheetViews>
  <sheetFormatPr baseColWidth="10" defaultColWidth="8.83203125" defaultRowHeight="16" x14ac:dyDescent="0.2"/>
  <cols>
    <col min="2" max="2" width="40" customWidth="1"/>
    <col min="3" max="3" width="9.6640625" customWidth="1"/>
    <col min="4" max="4" width="10.6640625" customWidth="1"/>
    <col min="5" max="7" width="10.1640625" bestFit="1" customWidth="1"/>
    <col min="8" max="8" width="9.1640625" bestFit="1" customWidth="1"/>
    <col min="9" max="13" width="11" bestFit="1" customWidth="1"/>
  </cols>
  <sheetData>
    <row r="1" spans="2:13" ht="31" x14ac:dyDescent="0.35">
      <c r="B1" s="20" t="s">
        <v>45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x14ac:dyDescent="0.2">
      <c r="B2" s="18" t="s">
        <v>46</v>
      </c>
      <c r="C2" s="18">
        <f>Master!I20</f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x14ac:dyDescent="0.2">
      <c r="B3" s="1" t="s">
        <v>48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">
      <c r="B4" s="8"/>
      <c r="C4" s="7">
        <v>2017</v>
      </c>
      <c r="D4" s="7">
        <f>C4+1</f>
        <v>2018</v>
      </c>
      <c r="E4" s="7">
        <f t="shared" ref="E4:G4" si="0">D4+1</f>
        <v>2019</v>
      </c>
      <c r="F4" s="7">
        <f t="shared" si="0"/>
        <v>2020</v>
      </c>
      <c r="G4" s="7">
        <f t="shared" si="0"/>
        <v>2021</v>
      </c>
      <c r="H4" s="262" t="s">
        <v>233</v>
      </c>
      <c r="I4" s="282" t="s">
        <v>239</v>
      </c>
      <c r="J4" s="282" t="s">
        <v>240</v>
      </c>
      <c r="K4" s="282" t="s">
        <v>241</v>
      </c>
      <c r="L4" s="282" t="s">
        <v>242</v>
      </c>
      <c r="M4" s="282" t="s">
        <v>243</v>
      </c>
    </row>
    <row r="5" spans="2:13" ht="15" customHeight="1" x14ac:dyDescent="0.2">
      <c r="B5" s="108" t="s">
        <v>122</v>
      </c>
      <c r="C5" s="122">
        <v>13094</v>
      </c>
      <c r="D5" s="122">
        <v>15451</v>
      </c>
      <c r="E5" s="122">
        <v>17772</v>
      </c>
      <c r="F5" s="122">
        <v>21454</v>
      </c>
      <c r="G5" s="122">
        <v>25371</v>
      </c>
      <c r="H5" s="145">
        <v>27518</v>
      </c>
      <c r="I5" s="122">
        <f ca="1">H5*(1+'Metrics &amp; Drivers'!I5)</f>
        <v>31275.198647395388</v>
      </c>
      <c r="J5" s="122">
        <f ca="1">I5*(1+'Metrics &amp; Drivers'!J5)</f>
        <v>34421.011075946772</v>
      </c>
      <c r="K5" s="122">
        <f ca="1">J5*(1+'Metrics &amp; Drivers'!K5)</f>
        <v>37769.293963074262</v>
      </c>
      <c r="L5" s="122">
        <f ca="1">K5*(1+'Metrics &amp; Drivers'!L5)</f>
        <v>41336.110809725855</v>
      </c>
      <c r="M5" s="122">
        <f ca="1">L5*(1+'Metrics &amp; Drivers'!M5)</f>
        <v>45084.968117014949</v>
      </c>
    </row>
    <row r="6" spans="2:13" ht="15.75" customHeight="1" x14ac:dyDescent="0.2">
      <c r="B6" s="359" t="s">
        <v>3</v>
      </c>
      <c r="C6" s="123"/>
      <c r="D6" s="123">
        <f t="shared" ref="D6:E6" si="1">(D5/C5)-1</f>
        <v>0.18000610966855057</v>
      </c>
      <c r="E6" s="123">
        <f t="shared" si="1"/>
        <v>0.15021681444566704</v>
      </c>
      <c r="F6" s="123">
        <f>(F5/E5)-1</f>
        <v>0.20717983344586988</v>
      </c>
      <c r="G6" s="293">
        <f>(G5/F5)-1</f>
        <v>0.18257667567819524</v>
      </c>
      <c r="H6" s="289">
        <f>(H5/G5)-1</f>
        <v>8.4624177210200546E-2</v>
      </c>
      <c r="I6" s="360">
        <f ca="1">I5/H5-1</f>
        <v>0.1365360363178787</v>
      </c>
      <c r="J6" s="360">
        <f t="shared" ref="I6:M6" ca="1" si="2">J5/I5-1</f>
        <v>0.10058489041166707</v>
      </c>
      <c r="K6" s="360">
        <f t="shared" ca="1" si="2"/>
        <v>9.7274390916054498E-2</v>
      </c>
      <c r="L6" s="360">
        <f t="shared" ca="1" si="2"/>
        <v>9.4436947911675118E-2</v>
      </c>
      <c r="M6" s="360">
        <f t="shared" ca="1" si="2"/>
        <v>9.0692066424571172E-2</v>
      </c>
    </row>
    <row r="7" spans="2:13" ht="15" customHeight="1" x14ac:dyDescent="0.2">
      <c r="B7" s="110" t="s">
        <v>173</v>
      </c>
      <c r="C7" s="122"/>
      <c r="D7" s="122"/>
      <c r="E7" s="361"/>
      <c r="F7" s="361"/>
      <c r="G7" s="361"/>
      <c r="H7" s="362"/>
      <c r="I7" s="361"/>
      <c r="J7" s="361"/>
      <c r="K7" s="361"/>
      <c r="L7" s="361"/>
      <c r="M7" s="361"/>
    </row>
    <row r="8" spans="2:13" ht="15" customHeight="1" x14ac:dyDescent="0.2">
      <c r="B8" s="108" t="s">
        <v>123</v>
      </c>
      <c r="C8" s="111">
        <v>4419</v>
      </c>
      <c r="D8" s="111">
        <v>5581</v>
      </c>
      <c r="E8" s="111">
        <v>6790</v>
      </c>
      <c r="F8" s="111">
        <v>7934</v>
      </c>
      <c r="G8" s="111">
        <v>10315</v>
      </c>
      <c r="H8" s="301">
        <v>12173</v>
      </c>
      <c r="I8" s="363">
        <f ca="1">'Metrics &amp; Drivers'!I10*IS!I5</f>
        <v>13917.463398090948</v>
      </c>
      <c r="J8" s="363">
        <f ca="1">'Metrics &amp; Drivers'!J10*IS!J5</f>
        <v>15403.402456486181</v>
      </c>
      <c r="K8" s="363">
        <f ca="1">'Metrics &amp; Drivers'!K10*IS!K5</f>
        <v>16996.182283383419</v>
      </c>
      <c r="L8" s="363">
        <f ca="1">'Metrics &amp; Drivers'!L10*IS!L5</f>
        <v>18601.249864376634</v>
      </c>
      <c r="M8" s="363">
        <f ca="1">'Metrics &amp; Drivers'!M10*IS!M5</f>
        <v>20288.235652656727</v>
      </c>
    </row>
    <row r="9" spans="2:13" ht="15" customHeight="1" x14ac:dyDescent="0.2">
      <c r="B9" s="108" t="s">
        <v>124</v>
      </c>
      <c r="C9" s="111">
        <v>1011</v>
      </c>
      <c r="D9" s="111">
        <v>1274</v>
      </c>
      <c r="E9" s="111">
        <v>1380</v>
      </c>
      <c r="F9" s="111">
        <v>1741</v>
      </c>
      <c r="G9" s="111">
        <v>1060</v>
      </c>
      <c r="H9" s="301">
        <v>1572</v>
      </c>
      <c r="I9" s="363">
        <f ca="1">'Metrics &amp; Drivers'!I15*IS!I5</f>
        <v>1782.6863229015371</v>
      </c>
      <c r="J9" s="363">
        <f ca="1">'Metrics &amp; Drivers'!J16*IS!J5</f>
        <v>1961.997631328966</v>
      </c>
      <c r="K9" s="363">
        <f ca="1">'Metrics &amp; Drivers'!K16*IS!K5</f>
        <v>2152.8497558952331</v>
      </c>
      <c r="L9" s="363">
        <f ca="1">'Metrics &amp; Drivers'!L16*IS!L5</f>
        <v>2356.158316154374</v>
      </c>
      <c r="M9" s="363">
        <f ca="1">'Metrics &amp; Drivers'!M16*IS!M5</f>
        <v>2569.843182669852</v>
      </c>
    </row>
    <row r="10" spans="2:13" ht="15" customHeight="1" x14ac:dyDescent="0.2">
      <c r="B10" s="134" t="s">
        <v>176</v>
      </c>
      <c r="C10" s="209">
        <f>SUM(C8:C9)</f>
        <v>5430</v>
      </c>
      <c r="D10" s="209">
        <f>SUM(D8:D9)</f>
        <v>6855</v>
      </c>
      <c r="E10" s="114">
        <f>SUM(E8:E9)</f>
        <v>8170</v>
      </c>
      <c r="F10" s="114">
        <f t="shared" ref="F10:H10" si="3">SUM(F8:F9)</f>
        <v>9675</v>
      </c>
      <c r="G10" s="114">
        <f t="shared" si="3"/>
        <v>11375</v>
      </c>
      <c r="H10" s="135">
        <f t="shared" si="3"/>
        <v>13745</v>
      </c>
      <c r="I10" s="120">
        <f ca="1">SUM(I8:I9)</f>
        <v>15700.149720992486</v>
      </c>
      <c r="J10" s="120">
        <f t="shared" ref="J10:M10" ca="1" si="4">SUM(J8:J9)</f>
        <v>17365.400087815146</v>
      </c>
      <c r="K10" s="120">
        <f t="shared" ca="1" si="4"/>
        <v>19149.032039278653</v>
      </c>
      <c r="L10" s="120">
        <f t="shared" ca="1" si="4"/>
        <v>20957.408180531009</v>
      </c>
      <c r="M10" s="120">
        <f ca="1">SUM(M8:M9)</f>
        <v>22858.078835326578</v>
      </c>
    </row>
    <row r="11" spans="2:13" ht="15" customHeight="1" x14ac:dyDescent="0.2">
      <c r="B11" s="110" t="s">
        <v>174</v>
      </c>
      <c r="C11" s="113">
        <f t="shared" ref="C11:D11" si="5">C5-C10</f>
        <v>7664</v>
      </c>
      <c r="D11" s="113">
        <f t="shared" si="5"/>
        <v>8596</v>
      </c>
      <c r="E11" s="113">
        <f>E5-E10</f>
        <v>9602</v>
      </c>
      <c r="F11" s="113">
        <f t="shared" ref="F11:H11" si="6">F5-F10</f>
        <v>11779</v>
      </c>
      <c r="G11" s="113">
        <f t="shared" si="6"/>
        <v>13996</v>
      </c>
      <c r="H11" s="302">
        <f t="shared" si="6"/>
        <v>13773</v>
      </c>
      <c r="I11" s="121">
        <f t="shared" ref="I11:M11" ca="1" si="7">I5-I10</f>
        <v>15575.048926402902</v>
      </c>
      <c r="J11" s="121">
        <f t="shared" ca="1" si="7"/>
        <v>17055.610988131626</v>
      </c>
      <c r="K11" s="121">
        <f t="shared" ca="1" si="7"/>
        <v>18620.26192379561</v>
      </c>
      <c r="L11" s="121">
        <f t="shared" ca="1" si="7"/>
        <v>20378.702629194846</v>
      </c>
      <c r="M11" s="121">
        <f t="shared" ca="1" si="7"/>
        <v>22226.889281688371</v>
      </c>
    </row>
    <row r="12" spans="2:13" ht="23.25" customHeight="1" x14ac:dyDescent="0.2">
      <c r="B12" s="117" t="s">
        <v>182</v>
      </c>
      <c r="C12" s="371">
        <f t="shared" ref="C12:D12" si="8">C11/C5</f>
        <v>0.58530624713609292</v>
      </c>
      <c r="D12" s="371">
        <f t="shared" si="8"/>
        <v>0.5563393955083813</v>
      </c>
      <c r="E12" s="371">
        <f>E11/E5</f>
        <v>0.54028809363042984</v>
      </c>
      <c r="F12" s="371">
        <f t="shared" ref="F12:H12" si="9">F11/F5</f>
        <v>0.54903514496131256</v>
      </c>
      <c r="G12" s="371">
        <f t="shared" si="9"/>
        <v>0.55165346261479642</v>
      </c>
      <c r="H12" s="372">
        <f t="shared" si="9"/>
        <v>0.50050875790391747</v>
      </c>
      <c r="I12" s="371">
        <f ca="1">I11/I5</f>
        <v>0.49799999999999994</v>
      </c>
      <c r="J12" s="371">
        <f t="shared" ref="J12" ca="1" si="10">J11/J5</f>
        <v>0.4955</v>
      </c>
      <c r="K12" s="371">
        <f t="shared" ref="K12" ca="1" si="11">K11/K5</f>
        <v>0.49299999999999994</v>
      </c>
      <c r="L12" s="371">
        <f t="shared" ref="L12" ca="1" si="12">L11/L5</f>
        <v>0.49299999999999999</v>
      </c>
      <c r="M12" s="372">
        <f ca="1">M11/M5</f>
        <v>0.49300000000000005</v>
      </c>
    </row>
    <row r="13" spans="2:13" ht="15" customHeight="1" x14ac:dyDescent="0.2">
      <c r="B13" s="110" t="s">
        <v>175</v>
      </c>
      <c r="C13" s="122"/>
      <c r="D13" s="122"/>
      <c r="E13" s="113"/>
      <c r="F13" s="113"/>
      <c r="G13" s="113"/>
      <c r="H13" s="302"/>
      <c r="I13" s="361"/>
      <c r="J13" s="361"/>
      <c r="K13" s="361"/>
      <c r="L13" s="361"/>
      <c r="M13" s="361"/>
    </row>
    <row r="14" spans="2:13" ht="15" customHeight="1" x14ac:dyDescent="0.2">
      <c r="B14" s="108" t="s">
        <v>187</v>
      </c>
      <c r="C14" s="111">
        <v>1265</v>
      </c>
      <c r="D14" s="111">
        <v>1407</v>
      </c>
      <c r="E14" s="124">
        <v>1615</v>
      </c>
      <c r="F14" s="124">
        <v>1778</v>
      </c>
      <c r="G14" s="124">
        <v>2075</v>
      </c>
      <c r="H14" s="299">
        <v>2120</v>
      </c>
      <c r="I14" s="363">
        <f ca="1">'Metrics &amp; Drivers'!I20*IS!I5</f>
        <v>2345.6398985546539</v>
      </c>
      <c r="J14" s="363">
        <f ca="1">'Metrics &amp; Drivers'!J20*IS!J5</f>
        <v>2529.9443140820877</v>
      </c>
      <c r="K14" s="363">
        <f ca="1">'Metrics &amp; Drivers'!K20*IS!K5</f>
        <v>2719.3891653413466</v>
      </c>
      <c r="L14" s="363">
        <f ca="1">'Metrics &amp; Drivers'!L20*IS!L5</f>
        <v>2914.1958120856725</v>
      </c>
      <c r="M14" s="363">
        <f ca="1">'Metrics &amp; Drivers'!M20*IS!M5</f>
        <v>3110.8628000740309</v>
      </c>
    </row>
    <row r="15" spans="2:13" ht="15" customHeight="1" x14ac:dyDescent="0.2">
      <c r="B15" s="108" t="s">
        <v>125</v>
      </c>
      <c r="C15" s="111">
        <v>1142</v>
      </c>
      <c r="D15" s="111">
        <v>1314</v>
      </c>
      <c r="E15" s="111">
        <v>1314</v>
      </c>
      <c r="F15" s="124">
        <v>1861</v>
      </c>
      <c r="G15" s="124">
        <v>2445</v>
      </c>
      <c r="H15" s="299">
        <v>2257</v>
      </c>
      <c r="I15" s="363">
        <f ca="1">'Metrics &amp; Drivers'!I35*IS!I5</f>
        <v>2580.2038884101198</v>
      </c>
      <c r="J15" s="363">
        <f ca="1">'Metrics &amp; Drivers'!J35*IS!J5</f>
        <v>2805.3124026896621</v>
      </c>
      <c r="K15" s="363">
        <f ca="1">'Metrics &amp; Drivers'!K35*IS!K5</f>
        <v>3040.428164027478</v>
      </c>
      <c r="L15" s="363">
        <f ca="1">'Metrics &amp; Drivers'!L35*IS!L5</f>
        <v>3286.2208093732056</v>
      </c>
      <c r="M15" s="363">
        <f ca="1">'Metrics &amp; Drivers'!M35*IS!M5</f>
        <v>3539.1699971856733</v>
      </c>
    </row>
    <row r="16" spans="2:13" ht="15" customHeight="1" x14ac:dyDescent="0.2">
      <c r="B16" s="108" t="s">
        <v>184</v>
      </c>
      <c r="C16" s="122">
        <v>953</v>
      </c>
      <c r="D16" s="122">
        <v>1071</v>
      </c>
      <c r="E16" s="125">
        <f>2085-912</f>
        <v>1173</v>
      </c>
      <c r="F16" s="125">
        <f>2642-1189</f>
        <v>1453</v>
      </c>
      <c r="G16" s="125">
        <f>3038-1265</f>
        <v>1773</v>
      </c>
      <c r="H16" s="303">
        <v>1936</v>
      </c>
      <c r="I16" s="363">
        <f ca="1">'Metrics &amp; Drivers'!I40*IS!I5</f>
        <v>2126.7135080228863</v>
      </c>
      <c r="J16" s="363">
        <f ca="1">'Metrics &amp; Drivers'!J40*IS!J5</f>
        <v>2340.6287531643807</v>
      </c>
      <c r="K16" s="363">
        <f ca="1">'Metrics &amp; Drivers'!K40*IS!K5</f>
        <v>2568.3119894890501</v>
      </c>
      <c r="L16" s="363">
        <f ca="1">'Metrics &amp; Drivers'!L40*IS!L5</f>
        <v>2810.8555350613583</v>
      </c>
      <c r="M16" s="363">
        <f ca="1">'Metrics &amp; Drivers'!M40*IS!M5</f>
        <v>3065.7778319570166</v>
      </c>
    </row>
    <row r="17" spans="2:13" ht="15" customHeight="1" x14ac:dyDescent="0.2">
      <c r="B17" s="108" t="s">
        <v>126</v>
      </c>
      <c r="C17" s="111">
        <v>1258</v>
      </c>
      <c r="D17" s="111">
        <v>1831</v>
      </c>
      <c r="E17" s="124">
        <v>1711</v>
      </c>
      <c r="F17" s="124">
        <v>2070</v>
      </c>
      <c r="G17" s="124">
        <v>2114</v>
      </c>
      <c r="H17" s="299">
        <v>2099</v>
      </c>
      <c r="I17" s="363">
        <f ca="1">'Metrics &amp; Drivers'!I25*IS!I5</f>
        <v>2291.7635442890414</v>
      </c>
      <c r="J17" s="363">
        <f ca="1">'Metrics &amp; Drivers'!J25*IS!J5</f>
        <v>2470.6488126268882</v>
      </c>
      <c r="K17" s="363">
        <f ca="1">'Metrics &amp; Drivers'!K25*IS!K5</f>
        <v>2654.3257300980308</v>
      </c>
      <c r="L17" s="363">
        <f ca="1">'Metrics &amp; Drivers'!L25*IS!L5</f>
        <v>2842.9879845973287</v>
      </c>
      <c r="M17" s="363">
        <f ca="1">'Metrics &amp; Drivers'!M25*IS!M5</f>
        <v>3033.1969875651653</v>
      </c>
    </row>
    <row r="18" spans="2:13" ht="15" customHeight="1" x14ac:dyDescent="0.2">
      <c r="B18" s="108" t="s">
        <v>183</v>
      </c>
      <c r="C18" s="122">
        <v>805</v>
      </c>
      <c r="D18" s="122">
        <v>776</v>
      </c>
      <c r="E18" s="125">
        <v>912</v>
      </c>
      <c r="F18" s="125">
        <v>1189</v>
      </c>
      <c r="G18" s="125">
        <v>1265</v>
      </c>
      <c r="H18" s="303">
        <v>1317</v>
      </c>
      <c r="I18" s="363">
        <f ca="1">'Metrics &amp; Drivers'!I30*IS!I5</f>
        <v>1496.8179598306463</v>
      </c>
      <c r="J18" s="363">
        <f ca="1">'Metrics &amp; Drivers'!J30*IS!J5</f>
        <v>1647.3752302864268</v>
      </c>
      <c r="K18" s="363">
        <f ca="1">'Metrics &amp; Drivers'!K30*IS!K5</f>
        <v>1807.6226524227343</v>
      </c>
      <c r="L18" s="363">
        <f ca="1">'Metrics &amp; Drivers'!L30*IS!L5</f>
        <v>1978.3290186935442</v>
      </c>
      <c r="M18" s="363">
        <f ca="1">'Metrics &amp; Drivers'!M30*IS!M5</f>
        <v>2157.7477654665558</v>
      </c>
    </row>
    <row r="19" spans="2:13" ht="15" customHeight="1" x14ac:dyDescent="0.2">
      <c r="B19" s="108" t="s">
        <v>127</v>
      </c>
      <c r="C19" s="111">
        <v>132</v>
      </c>
      <c r="D19" s="111">
        <v>309</v>
      </c>
      <c r="E19" s="124">
        <v>71</v>
      </c>
      <c r="F19" s="124">
        <v>139</v>
      </c>
      <c r="G19" s="124">
        <v>62</v>
      </c>
      <c r="H19" s="299">
        <v>207</v>
      </c>
      <c r="I19" s="363">
        <f ca="1">'Metrics &amp; Drivers'!I45*IS!I5</f>
        <v>76.428296722183362</v>
      </c>
      <c r="J19" s="363">
        <f ca="1">'Metrics &amp; Drivers'!J45*IS!J5</f>
        <v>84.11582857233455</v>
      </c>
      <c r="K19" s="363">
        <f ca="1">'Metrics &amp; Drivers'!K45*IS!K5</f>
        <v>92.298144563107655</v>
      </c>
      <c r="L19" s="363">
        <f ca="1">'Metrics &amp; Drivers'!L45*IS!L5</f>
        <v>101.01449963355812</v>
      </c>
      <c r="M19" s="363">
        <f ca="1">'Metrics &amp; Drivers'!M45*IS!M5</f>
        <v>110.17571334416959</v>
      </c>
    </row>
    <row r="20" spans="2:13" ht="15" customHeight="1" x14ac:dyDescent="0.2">
      <c r="B20" s="134" t="s">
        <v>128</v>
      </c>
      <c r="C20" s="126">
        <f t="shared" ref="C20:D20" si="13">SUM(C14:C19)</f>
        <v>5555</v>
      </c>
      <c r="D20" s="126">
        <f t="shared" si="13"/>
        <v>6708</v>
      </c>
      <c r="E20" s="126">
        <f>SUM(E14:E19)</f>
        <v>6796</v>
      </c>
      <c r="F20" s="126">
        <f t="shared" ref="F20:G20" si="14">SUM(F14:F19)</f>
        <v>8490</v>
      </c>
      <c r="G20" s="126">
        <f t="shared" si="14"/>
        <v>9734</v>
      </c>
      <c r="H20" s="290">
        <f>SUM(H14:H19)</f>
        <v>9936</v>
      </c>
      <c r="I20" s="120">
        <f t="shared" ref="I20:M20" ca="1" si="15">SUM(I14:I19)</f>
        <v>10917.56709582953</v>
      </c>
      <c r="J20" s="120">
        <f t="shared" ca="1" si="15"/>
        <v>11878.02534142178</v>
      </c>
      <c r="K20" s="120">
        <f t="shared" ca="1" si="15"/>
        <v>12882.37584594175</v>
      </c>
      <c r="L20" s="120">
        <f t="shared" ca="1" si="15"/>
        <v>13933.603659444669</v>
      </c>
      <c r="M20" s="120">
        <f t="shared" ca="1" si="15"/>
        <v>15016.931095592612</v>
      </c>
    </row>
    <row r="21" spans="2:13" ht="15" customHeight="1" x14ac:dyDescent="0.2">
      <c r="B21" s="110" t="s">
        <v>129</v>
      </c>
      <c r="C21" s="208">
        <f>C11-C20</f>
        <v>2109</v>
      </c>
      <c r="D21" s="208">
        <f>D11-D20</f>
        <v>1888</v>
      </c>
      <c r="E21" s="127">
        <f>E11-E20</f>
        <v>2806</v>
      </c>
      <c r="F21" s="127">
        <f t="shared" ref="F21:H21" si="16">F11-F20</f>
        <v>3289</v>
      </c>
      <c r="G21" s="127">
        <f t="shared" si="16"/>
        <v>4262</v>
      </c>
      <c r="H21" s="291">
        <f t="shared" si="16"/>
        <v>3837</v>
      </c>
      <c r="I21" s="121">
        <f t="shared" ref="I21:M21" ca="1" si="17">I11-I20</f>
        <v>4657.4818305733716</v>
      </c>
      <c r="J21" s="121">
        <f t="shared" ca="1" si="17"/>
        <v>5177.5856467098456</v>
      </c>
      <c r="K21" s="121">
        <f t="shared" ca="1" si="17"/>
        <v>5737.8860778538601</v>
      </c>
      <c r="L21" s="121">
        <f t="shared" ca="1" si="17"/>
        <v>6445.0989697501773</v>
      </c>
      <c r="M21" s="121">
        <f t="shared" ca="1" si="17"/>
        <v>7209.9581860957587</v>
      </c>
    </row>
    <row r="22" spans="2:13" ht="15" customHeight="1" x14ac:dyDescent="0.2">
      <c r="B22" s="110"/>
      <c r="C22" s="122"/>
      <c r="D22" s="122"/>
      <c r="E22" s="127"/>
      <c r="F22" s="127"/>
      <c r="G22" s="127"/>
      <c r="H22" s="291"/>
      <c r="I22" s="361"/>
      <c r="J22" s="361"/>
      <c r="K22" s="361"/>
      <c r="L22" s="361"/>
      <c r="M22" s="361"/>
    </row>
    <row r="23" spans="2:13" ht="15" customHeight="1" x14ac:dyDescent="0.2">
      <c r="B23" s="373" t="s">
        <v>4</v>
      </c>
      <c r="C23" s="374"/>
      <c r="D23" s="374"/>
      <c r="E23" s="125"/>
      <c r="F23" s="125"/>
      <c r="G23" s="125"/>
      <c r="H23" s="303"/>
      <c r="I23" s="361"/>
      <c r="J23" s="361"/>
      <c r="K23" s="361"/>
      <c r="L23" s="361"/>
      <c r="M23" s="361"/>
    </row>
    <row r="24" spans="2:13" ht="15" customHeight="1" x14ac:dyDescent="0.2">
      <c r="B24" s="375" t="s">
        <v>5</v>
      </c>
      <c r="C24" s="374">
        <v>85</v>
      </c>
      <c r="D24" s="374">
        <v>168</v>
      </c>
      <c r="E24" s="125">
        <v>197</v>
      </c>
      <c r="F24" s="125">
        <v>88</v>
      </c>
      <c r="G24" s="125">
        <v>57</v>
      </c>
      <c r="H24" s="303">
        <v>174</v>
      </c>
      <c r="I24" s="364">
        <f ca="1">'Metrics &amp; Drivers'!I50*IS!I5</f>
        <v>156.37599323697694</v>
      </c>
      <c r="J24" s="364">
        <f ca="1">'Metrics &amp; Drivers'!J50*IS!J5</f>
        <v>172.10505537973387</v>
      </c>
      <c r="K24" s="364">
        <f ca="1">'Metrics &amp; Drivers'!K50*IS!K5</f>
        <v>188.84646981537131</v>
      </c>
      <c r="L24" s="364">
        <f t="shared" ref="L24:M24" ca="1" si="18">J24</f>
        <v>172.10505537973387</v>
      </c>
      <c r="M24" s="364">
        <f t="shared" ca="1" si="18"/>
        <v>188.84646981537131</v>
      </c>
    </row>
    <row r="25" spans="2:13" ht="15" customHeight="1" x14ac:dyDescent="0.2">
      <c r="B25" s="375" t="s">
        <v>6</v>
      </c>
      <c r="C25" s="374">
        <v>-7</v>
      </c>
      <c r="D25" s="374">
        <v>-77</v>
      </c>
      <c r="E25" s="128">
        <v>-115</v>
      </c>
      <c r="F25" s="128">
        <v>-209</v>
      </c>
      <c r="G25" s="128">
        <v>-232</v>
      </c>
      <c r="H25" s="304">
        <v>-304</v>
      </c>
      <c r="I25" s="364">
        <f ca="1">-'Metrics &amp; Drivers'!I55*I5</f>
        <v>-281.47678782655845</v>
      </c>
      <c r="J25" s="364">
        <f ca="1">-'Metrics &amp; Drivers'!J55*J5</f>
        <v>-309.78909968352093</v>
      </c>
      <c r="K25" s="364">
        <f ca="1">-'Metrics &amp; Drivers'!K55*K5</f>
        <v>-339.92364566766832</v>
      </c>
      <c r="L25" s="364">
        <f ca="1">-'Metrics &amp; Drivers'!L55*L5</f>
        <v>-372.02499728753264</v>
      </c>
      <c r="M25" s="364">
        <f ca="1">-'Metrics &amp; Drivers'!M55*M5</f>
        <v>-405.76471305313453</v>
      </c>
    </row>
    <row r="26" spans="2:13" ht="15" customHeight="1" x14ac:dyDescent="0.2">
      <c r="B26" s="375" t="s">
        <v>7</v>
      </c>
      <c r="C26" s="374">
        <v>0</v>
      </c>
      <c r="D26" s="374">
        <v>0</v>
      </c>
      <c r="E26" s="125">
        <v>208</v>
      </c>
      <c r="F26" s="125">
        <v>1914</v>
      </c>
      <c r="G26" s="125">
        <v>46</v>
      </c>
      <c r="H26" s="303">
        <v>-304</v>
      </c>
      <c r="I26" s="364">
        <f ca="1">'Metrics &amp; Drivers'!I60*IS!I5</f>
        <v>-156.37599323697694</v>
      </c>
      <c r="J26" s="364">
        <f ca="1">'Metrics &amp; Drivers'!J60*IS!J5</f>
        <v>344.21011075946774</v>
      </c>
      <c r="K26" s="364">
        <f ca="1">'Metrics &amp; Drivers'!K60*IS!K5</f>
        <v>377.69293963074261</v>
      </c>
      <c r="L26" s="364">
        <f ca="1">'Metrics &amp; Drivers'!L60*IS!L5</f>
        <v>413.36110809725858</v>
      </c>
      <c r="M26" s="364">
        <f ca="1">'Metrics &amp; Drivers'!M60*IS!M5</f>
        <v>450.84968117014949</v>
      </c>
    </row>
    <row r="27" spans="2:13" ht="15" customHeight="1" x14ac:dyDescent="0.2">
      <c r="B27" s="375" t="s">
        <v>8</v>
      </c>
      <c r="C27" s="376">
        <v>-5</v>
      </c>
      <c r="D27" s="376">
        <v>91</v>
      </c>
      <c r="E27" s="125">
        <v>-11</v>
      </c>
      <c r="F27" s="125">
        <v>-17</v>
      </c>
      <c r="G27" s="125">
        <v>-34</v>
      </c>
      <c r="H27" s="303">
        <v>-37</v>
      </c>
      <c r="I27" s="364">
        <f>$H$27</f>
        <v>-37</v>
      </c>
      <c r="J27" s="364">
        <f t="shared" ref="J27:M27" si="19">$H$27</f>
        <v>-37</v>
      </c>
      <c r="K27" s="364">
        <f t="shared" si="19"/>
        <v>-37</v>
      </c>
      <c r="L27" s="364">
        <f t="shared" si="19"/>
        <v>-37</v>
      </c>
      <c r="M27" s="364">
        <f t="shared" si="19"/>
        <v>-37</v>
      </c>
    </row>
    <row r="28" spans="2:13" ht="15" customHeight="1" x14ac:dyDescent="0.2">
      <c r="B28" s="377" t="s">
        <v>130</v>
      </c>
      <c r="C28" s="374">
        <f>SUM(C24:C27)</f>
        <v>73</v>
      </c>
      <c r="D28" s="374">
        <f t="shared" ref="D28:H28" si="20">SUM(D24:D27)</f>
        <v>182</v>
      </c>
      <c r="E28" s="132">
        <f t="shared" si="20"/>
        <v>279</v>
      </c>
      <c r="F28" s="132">
        <f t="shared" si="20"/>
        <v>1776</v>
      </c>
      <c r="G28" s="214">
        <f t="shared" si="20"/>
        <v>-163</v>
      </c>
      <c r="H28" s="305">
        <f t="shared" si="20"/>
        <v>-471</v>
      </c>
      <c r="I28" s="214">
        <f t="shared" ref="I28:M28" ca="1" si="21">SUM(I24:I27)</f>
        <v>-318.47678782655845</v>
      </c>
      <c r="J28" s="214">
        <f t="shared" ca="1" si="21"/>
        <v>169.52606645568068</v>
      </c>
      <c r="K28" s="214">
        <f t="shared" ca="1" si="21"/>
        <v>189.6157637784456</v>
      </c>
      <c r="L28" s="214">
        <f t="shared" ca="1" si="21"/>
        <v>176.44116618945981</v>
      </c>
      <c r="M28" s="214">
        <f t="shared" ca="1" si="21"/>
        <v>196.93143793238627</v>
      </c>
    </row>
    <row r="29" spans="2:13" ht="15" customHeight="1" x14ac:dyDescent="0.2">
      <c r="B29" s="378" t="s">
        <v>131</v>
      </c>
      <c r="C29" s="124">
        <v>2200</v>
      </c>
      <c r="D29" s="124">
        <v>2376</v>
      </c>
      <c r="E29" s="124">
        <v>2998</v>
      </c>
      <c r="F29" s="124">
        <v>5065</v>
      </c>
      <c r="G29" s="124">
        <v>4099</v>
      </c>
      <c r="H29" s="299">
        <f>H21+H28</f>
        <v>3366</v>
      </c>
      <c r="I29" s="363">
        <f t="shared" ref="I29:M29" ca="1" si="22">I21+I28</f>
        <v>4339.0050427468132</v>
      </c>
      <c r="J29" s="363">
        <f t="shared" ca="1" si="22"/>
        <v>5347.1117131655265</v>
      </c>
      <c r="K29" s="363">
        <f t="shared" ca="1" si="22"/>
        <v>5927.5018416323055</v>
      </c>
      <c r="L29" s="363">
        <f t="shared" ca="1" si="22"/>
        <v>6621.5401359396374</v>
      </c>
      <c r="M29" s="363">
        <f t="shared" ca="1" si="22"/>
        <v>7406.8896240281447</v>
      </c>
    </row>
    <row r="30" spans="2:13" ht="15" customHeight="1" x14ac:dyDescent="0.2">
      <c r="B30" s="378" t="s">
        <v>132</v>
      </c>
      <c r="C30" s="124">
        <v>405</v>
      </c>
      <c r="D30" s="124">
        <v>319</v>
      </c>
      <c r="E30" s="124">
        <v>539</v>
      </c>
      <c r="F30" s="124">
        <v>863</v>
      </c>
      <c r="G30" s="124">
        <v>-70</v>
      </c>
      <c r="H30" s="299">
        <v>947</v>
      </c>
      <c r="I30" s="363">
        <f t="shared" ref="I30:M30" ca="1" si="23">I29*I31</f>
        <v>781.02090769442634</v>
      </c>
      <c r="J30" s="363">
        <f t="shared" ca="1" si="23"/>
        <v>962.48010836979472</v>
      </c>
      <c r="K30" s="363">
        <f t="shared" ca="1" si="23"/>
        <v>1066.9503314938149</v>
      </c>
      <c r="L30" s="363">
        <f t="shared" ca="1" si="23"/>
        <v>1191.8772244691347</v>
      </c>
      <c r="M30" s="363">
        <f t="shared" ca="1" si="23"/>
        <v>1333.240132325066</v>
      </c>
    </row>
    <row r="31" spans="2:13" ht="15" customHeight="1" x14ac:dyDescent="0.2">
      <c r="B31" s="379" t="s">
        <v>226</v>
      </c>
      <c r="C31" s="365">
        <f t="shared" ref="C31:G31" si="24">C30/C29</f>
        <v>0.18409090909090908</v>
      </c>
      <c r="D31" s="365">
        <f t="shared" si="24"/>
        <v>0.13425925925925927</v>
      </c>
      <c r="E31" s="365">
        <f t="shared" si="24"/>
        <v>0.17978652434956638</v>
      </c>
      <c r="F31" s="365">
        <f t="shared" si="24"/>
        <v>0.17038499506416585</v>
      </c>
      <c r="G31" s="366">
        <f t="shared" si="24"/>
        <v>-1.7077335935594046E-2</v>
      </c>
      <c r="H31" s="367">
        <f>H30/H29</f>
        <v>0.28134284016636957</v>
      </c>
      <c r="I31" s="368">
        <f ca="1">'Metrics &amp; Drivers'!I65</f>
        <v>0.18</v>
      </c>
      <c r="J31" s="368">
        <f ca="1">'Metrics &amp; Drivers'!J65</f>
        <v>0.18</v>
      </c>
      <c r="K31" s="368">
        <f ca="1">'Metrics &amp; Drivers'!K65</f>
        <v>0.18</v>
      </c>
      <c r="L31" s="368">
        <f ca="1">'Metrics &amp; Drivers'!L65</f>
        <v>0.18</v>
      </c>
      <c r="M31" s="368">
        <f ca="1">'Metrics &amp; Drivers'!M65</f>
        <v>0.18</v>
      </c>
    </row>
    <row r="32" spans="2:13" ht="15" customHeight="1" x14ac:dyDescent="0.2">
      <c r="B32" s="377" t="s">
        <v>133</v>
      </c>
      <c r="C32" s="129">
        <f>C29-C30</f>
        <v>1795</v>
      </c>
      <c r="D32" s="129">
        <f>D29-D30</f>
        <v>2057</v>
      </c>
      <c r="E32" s="129">
        <v>2459</v>
      </c>
      <c r="F32" s="129">
        <v>4202</v>
      </c>
      <c r="G32" s="264">
        <v>4169</v>
      </c>
      <c r="H32" s="215">
        <f>H29-H30</f>
        <v>2419</v>
      </c>
      <c r="I32" s="264">
        <f t="shared" ref="I32:M32" ca="1" si="25">I29-I30</f>
        <v>3557.9841350523866</v>
      </c>
      <c r="J32" s="129">
        <f t="shared" ca="1" si="25"/>
        <v>4384.6316047957316</v>
      </c>
      <c r="K32" s="129">
        <f t="shared" ca="1" si="25"/>
        <v>4860.5515101384908</v>
      </c>
      <c r="L32" s="129">
        <f t="shared" ca="1" si="25"/>
        <v>5429.6629114705029</v>
      </c>
      <c r="M32" s="129">
        <f t="shared" ca="1" si="25"/>
        <v>6073.6494917030786</v>
      </c>
    </row>
    <row r="33" spans="2:13" ht="15" customHeight="1" x14ac:dyDescent="0.2">
      <c r="B33" s="110"/>
      <c r="C33" s="122"/>
      <c r="D33" s="122"/>
      <c r="E33" s="130"/>
      <c r="F33" s="130"/>
      <c r="G33" s="130"/>
      <c r="H33" s="306"/>
      <c r="I33" s="361"/>
      <c r="J33" s="361"/>
      <c r="K33" s="361"/>
      <c r="L33" s="361"/>
      <c r="M33" s="361"/>
    </row>
    <row r="34" spans="2:13" ht="15" customHeight="1" x14ac:dyDescent="0.2">
      <c r="B34" s="110" t="s">
        <v>134</v>
      </c>
      <c r="C34" s="122"/>
      <c r="D34" s="122"/>
      <c r="E34" s="361"/>
      <c r="F34" s="361"/>
      <c r="G34" s="361"/>
      <c r="H34" s="362"/>
      <c r="I34" s="361"/>
      <c r="J34" s="361"/>
      <c r="K34" s="361"/>
      <c r="L34" s="361"/>
      <c r="M34" s="361"/>
    </row>
    <row r="35" spans="2:13" ht="15" customHeight="1" x14ac:dyDescent="0.2">
      <c r="B35" s="108" t="s">
        <v>135</v>
      </c>
      <c r="C35" s="112">
        <v>1.49</v>
      </c>
      <c r="D35" s="112">
        <v>1.74</v>
      </c>
      <c r="E35" s="131">
        <v>2.09</v>
      </c>
      <c r="F35" s="131">
        <v>3.58</v>
      </c>
      <c r="G35" s="131">
        <v>3.55</v>
      </c>
      <c r="H35" s="300">
        <f>H32/H38</f>
        <v>2.0961871750433274</v>
      </c>
      <c r="I35" s="369">
        <f ca="1">I32/I38</f>
        <v>3.0831751603573543</v>
      </c>
      <c r="J35" s="369">
        <f t="shared" ref="J35:M35" ca="1" si="26">J32/J38</f>
        <v>3.7995074564954345</v>
      </c>
      <c r="K35" s="369">
        <f t="shared" ca="1" si="26"/>
        <v>4.2119163866018114</v>
      </c>
      <c r="L35" s="369">
        <f t="shared" ca="1" si="26"/>
        <v>4.7050805125394302</v>
      </c>
      <c r="M35" s="369">
        <f t="shared" ca="1" si="26"/>
        <v>5.2631278091014551</v>
      </c>
    </row>
    <row r="36" spans="2:13" ht="15" customHeight="1" x14ac:dyDescent="0.2">
      <c r="B36" s="108" t="s">
        <v>136</v>
      </c>
      <c r="C36" s="112">
        <v>1.47</v>
      </c>
      <c r="D36" s="112">
        <v>1.71</v>
      </c>
      <c r="E36" s="131">
        <v>2.0699999999999998</v>
      </c>
      <c r="F36" s="131">
        <v>3.54</v>
      </c>
      <c r="G36" s="131">
        <v>3.52</v>
      </c>
      <c r="H36" s="300">
        <f>H32/H39</f>
        <v>2.0889464594127807</v>
      </c>
      <c r="I36" s="131">
        <f ca="1">I32/I39</f>
        <v>3.0725251598034427</v>
      </c>
      <c r="J36" s="131">
        <f t="shared" ref="J36:M36" ca="1" si="27">J32/J39</f>
        <v>3.7863830784073675</v>
      </c>
      <c r="K36" s="131">
        <f t="shared" ca="1" si="27"/>
        <v>4.1973674526239124</v>
      </c>
      <c r="L36" s="131">
        <f t="shared" ca="1" si="27"/>
        <v>4.6888280755358398</v>
      </c>
      <c r="M36" s="131">
        <f t="shared" ca="1" si="27"/>
        <v>5.2449477475846962</v>
      </c>
    </row>
    <row r="37" spans="2:13" ht="15" customHeight="1" x14ac:dyDescent="0.2">
      <c r="B37" s="110" t="s">
        <v>137</v>
      </c>
      <c r="C37" s="361"/>
      <c r="D37" s="361"/>
      <c r="E37" s="361"/>
      <c r="F37" s="361"/>
      <c r="G37" s="361"/>
      <c r="H37" s="362"/>
      <c r="I37" s="361"/>
      <c r="J37" s="361"/>
      <c r="K37" s="361"/>
      <c r="L37" s="361"/>
      <c r="M37" s="361"/>
    </row>
    <row r="38" spans="2:13" ht="15" customHeight="1" x14ac:dyDescent="0.2">
      <c r="B38" s="108" t="s">
        <v>138</v>
      </c>
      <c r="C38" s="111">
        <v>1203</v>
      </c>
      <c r="D38" s="111">
        <v>1184</v>
      </c>
      <c r="E38" s="124">
        <v>1174</v>
      </c>
      <c r="F38" s="124">
        <v>1173</v>
      </c>
      <c r="G38" s="124">
        <v>1174</v>
      </c>
      <c r="H38" s="299">
        <v>1154</v>
      </c>
      <c r="I38" s="370">
        <f>H38</f>
        <v>1154</v>
      </c>
      <c r="J38" s="370">
        <f t="shared" ref="J38:M38" si="28">I38</f>
        <v>1154</v>
      </c>
      <c r="K38" s="370">
        <f t="shared" si="28"/>
        <v>1154</v>
      </c>
      <c r="L38" s="370">
        <f t="shared" si="28"/>
        <v>1154</v>
      </c>
      <c r="M38" s="370">
        <f t="shared" si="28"/>
        <v>1154</v>
      </c>
    </row>
    <row r="39" spans="2:13" ht="15" customHeight="1" x14ac:dyDescent="0.2">
      <c r="B39" s="108" t="s">
        <v>139</v>
      </c>
      <c r="C39" s="111">
        <v>1221</v>
      </c>
      <c r="D39" s="111">
        <v>1203</v>
      </c>
      <c r="E39" s="124">
        <v>1188</v>
      </c>
      <c r="F39" s="124">
        <v>1187</v>
      </c>
      <c r="G39" s="124">
        <v>1186</v>
      </c>
      <c r="H39" s="299">
        <v>1158</v>
      </c>
      <c r="I39" s="370">
        <f>H39</f>
        <v>1158</v>
      </c>
      <c r="J39" s="370">
        <f t="shared" ref="J39:M39" si="29">I39</f>
        <v>1158</v>
      </c>
      <c r="K39" s="370">
        <f t="shared" si="29"/>
        <v>1158</v>
      </c>
      <c r="L39" s="370">
        <f t="shared" si="29"/>
        <v>1158</v>
      </c>
      <c r="M39" s="370">
        <f t="shared" si="29"/>
        <v>1158</v>
      </c>
    </row>
    <row r="40" spans="2:13" x14ac:dyDescent="0.2">
      <c r="C40" s="122"/>
      <c r="D40" s="122"/>
      <c r="E40" s="118"/>
      <c r="F40" s="118"/>
      <c r="G40" s="118"/>
      <c r="H40" s="124"/>
    </row>
    <row r="41" spans="2:13" x14ac:dyDescent="0.2">
      <c r="B41" s="108"/>
      <c r="C41" s="122"/>
      <c r="D41" s="122"/>
      <c r="E41" s="122"/>
      <c r="F41" s="122"/>
      <c r="G41" s="122"/>
    </row>
    <row r="42" spans="2:13" x14ac:dyDescent="0.2">
      <c r="B42" s="2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</row>
    <row r="43" spans="2:13" x14ac:dyDescent="0.2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B7C6-C033-4DA4-9480-E83797F5F15B}">
  <dimension ref="A1:Q4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7" sqref="I7"/>
    </sheetView>
  </sheetViews>
  <sheetFormatPr baseColWidth="10" defaultColWidth="8.83203125" defaultRowHeight="16" x14ac:dyDescent="0.2"/>
  <cols>
    <col min="2" max="2" width="36.5" customWidth="1"/>
    <col min="3" max="5" width="11.1640625" bestFit="1" customWidth="1"/>
    <col min="6" max="6" width="12.1640625" bestFit="1" customWidth="1"/>
    <col min="7" max="7" width="12.6640625" bestFit="1" customWidth="1"/>
    <col min="8" max="8" width="11.33203125" customWidth="1"/>
    <col min="9" max="13" width="12" bestFit="1" customWidth="1"/>
  </cols>
  <sheetData>
    <row r="1" spans="1:17" ht="31" x14ac:dyDescent="0.35">
      <c r="B1" s="20" t="s">
        <v>45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7"/>
    </row>
    <row r="2" spans="1:17" x14ac:dyDescent="0.2">
      <c r="B2" s="19" t="s">
        <v>46</v>
      </c>
      <c r="C2" s="19">
        <f>Master!I20</f>
        <v>1</v>
      </c>
      <c r="D2" s="19"/>
      <c r="E2" s="19"/>
      <c r="F2" s="19"/>
      <c r="G2" s="19"/>
      <c r="H2" s="19"/>
      <c r="I2" s="19"/>
      <c r="J2" s="19"/>
      <c r="K2" s="19"/>
      <c r="L2" s="19"/>
      <c r="M2" s="17"/>
    </row>
    <row r="3" spans="1:17" x14ac:dyDescent="0.2">
      <c r="B3" s="1" t="s">
        <v>49</v>
      </c>
      <c r="C3" s="1"/>
      <c r="D3" s="1"/>
      <c r="E3" s="1"/>
      <c r="F3" s="1"/>
      <c r="G3" s="1"/>
      <c r="H3" s="1"/>
      <c r="I3" s="1"/>
      <c r="J3" s="1"/>
      <c r="K3" s="1"/>
      <c r="L3" s="294"/>
      <c r="M3" s="17"/>
    </row>
    <row r="4" spans="1:17" x14ac:dyDescent="0.2">
      <c r="B4" s="8"/>
      <c r="C4" s="7">
        <v>2017</v>
      </c>
      <c r="D4" s="7">
        <f>C4+1</f>
        <v>2018</v>
      </c>
      <c r="E4" s="7">
        <f t="shared" ref="E4:G4" si="0">D4+1</f>
        <v>2019</v>
      </c>
      <c r="F4" s="7">
        <f t="shared" si="0"/>
        <v>2020</v>
      </c>
      <c r="G4" s="7">
        <f t="shared" si="0"/>
        <v>2021</v>
      </c>
      <c r="H4" s="283" t="s">
        <v>233</v>
      </c>
      <c r="I4" s="282" t="s">
        <v>239</v>
      </c>
      <c r="J4" s="282" t="s">
        <v>240</v>
      </c>
      <c r="K4" s="282" t="s">
        <v>241</v>
      </c>
      <c r="L4" s="282" t="s">
        <v>242</v>
      </c>
      <c r="M4" s="282" t="s">
        <v>243</v>
      </c>
    </row>
    <row r="5" spans="1:17" ht="15" customHeight="1" x14ac:dyDescent="0.2">
      <c r="B5" s="110" t="s">
        <v>140</v>
      </c>
      <c r="H5" s="286"/>
    </row>
    <row r="6" spans="1:17" ht="15" customHeight="1" x14ac:dyDescent="0.2">
      <c r="A6" s="137"/>
      <c r="B6" s="141" t="s">
        <v>141</v>
      </c>
      <c r="C6" s="122">
        <v>2883</v>
      </c>
      <c r="D6" s="142">
        <v>7575</v>
      </c>
      <c r="E6" s="122">
        <v>7349</v>
      </c>
      <c r="F6" s="122">
        <v>4794</v>
      </c>
      <c r="G6" s="122">
        <v>5197</v>
      </c>
      <c r="H6" s="292">
        <v>7776</v>
      </c>
      <c r="I6" s="252">
        <f>H6+Cash!J45</f>
        <v>7776</v>
      </c>
      <c r="J6" s="252">
        <f>I6+Cash!K45</f>
        <v>7776</v>
      </c>
      <c r="K6" s="252">
        <f>J6+Cash!L45</f>
        <v>7776</v>
      </c>
      <c r="L6" s="252">
        <f>K6+Cash!M45</f>
        <v>7776</v>
      </c>
      <c r="M6" s="252">
        <f>L6+Cash!N45</f>
        <v>7776</v>
      </c>
    </row>
    <row r="7" spans="1:17" ht="15" customHeight="1" x14ac:dyDescent="0.2">
      <c r="A7" s="137"/>
      <c r="B7" s="141" t="s">
        <v>142</v>
      </c>
      <c r="C7" s="122">
        <v>2812</v>
      </c>
      <c r="D7" s="142">
        <v>1534</v>
      </c>
      <c r="E7" s="122">
        <v>3412</v>
      </c>
      <c r="F7" s="122">
        <v>8289</v>
      </c>
      <c r="G7" s="122">
        <v>4303</v>
      </c>
      <c r="H7" s="292">
        <v>3092</v>
      </c>
      <c r="I7" s="122">
        <f ca="1">NWC!I6</f>
        <v>6880.543702426985</v>
      </c>
      <c r="J7" s="122">
        <f ca="1">NWC!J6</f>
        <v>7572.6224367082896</v>
      </c>
      <c r="K7" s="122">
        <f ca="1">NWC!K6</f>
        <v>8309.2446718763385</v>
      </c>
      <c r="L7" s="122">
        <f ca="1">NWC!L6</f>
        <v>9093.9443781396876</v>
      </c>
      <c r="M7" s="122">
        <f ca="1">NWC!M6</f>
        <v>9918.6929857432897</v>
      </c>
    </row>
    <row r="8" spans="1:17" ht="15" customHeight="1" x14ac:dyDescent="0.2">
      <c r="A8" s="137"/>
      <c r="B8" s="141" t="s">
        <v>143</v>
      </c>
      <c r="C8" s="122">
        <v>283</v>
      </c>
      <c r="D8" s="142">
        <v>313</v>
      </c>
      <c r="E8" s="122">
        <v>435</v>
      </c>
      <c r="F8" s="122">
        <v>577</v>
      </c>
      <c r="G8" s="122">
        <v>800</v>
      </c>
      <c r="H8" s="292">
        <v>963</v>
      </c>
      <c r="I8" s="122">
        <f ca="1">NWC!I7</f>
        <v>942.54023320917611</v>
      </c>
      <c r="J8" s="122">
        <f ca="1">NWC!J7</f>
        <v>1037.3455392751082</v>
      </c>
      <c r="K8" s="122">
        <f ca="1">NWC!K7</f>
        <v>1138.2526947775805</v>
      </c>
      <c r="L8" s="122">
        <f ca="1">NWC!L7</f>
        <v>1245.745805224615</v>
      </c>
      <c r="M8" s="122">
        <f ca="1">NWC!M7</f>
        <v>1358.7250665401766</v>
      </c>
    </row>
    <row r="9" spans="1:17" ht="15" customHeight="1" x14ac:dyDescent="0.2">
      <c r="A9" s="137"/>
      <c r="B9" s="141" t="s">
        <v>144</v>
      </c>
      <c r="C9" s="251">
        <f>6398+1314</f>
        <v>7712</v>
      </c>
      <c r="D9" s="142">
        <v>2532</v>
      </c>
      <c r="E9" s="122">
        <v>3972</v>
      </c>
      <c r="F9" s="122">
        <v>2769</v>
      </c>
      <c r="G9" s="122">
        <v>4846</v>
      </c>
      <c r="H9" s="292">
        <v>7431</v>
      </c>
      <c r="I9" s="122">
        <f ca="1">NWC!I8</f>
        <v>6255.0397294790782</v>
      </c>
      <c r="J9" s="122">
        <f ca="1">NWC!J8</f>
        <v>6539.9921044298862</v>
      </c>
      <c r="K9" s="122">
        <f ca="1">NWC!K8</f>
        <v>6798.4729133533665</v>
      </c>
      <c r="L9" s="122">
        <f ca="1">NWC!L8</f>
        <v>7027.138837653396</v>
      </c>
      <c r="M9" s="122">
        <f ca="1">NWC!M8</f>
        <v>7213.5948987223919</v>
      </c>
    </row>
    <row r="10" spans="1:17" ht="15" customHeight="1" x14ac:dyDescent="0.2">
      <c r="A10" s="137"/>
      <c r="B10" s="141" t="s">
        <v>145</v>
      </c>
      <c r="C10" s="122">
        <v>18242</v>
      </c>
      <c r="D10" s="142">
        <v>20062</v>
      </c>
      <c r="E10" s="122">
        <v>22527</v>
      </c>
      <c r="F10" s="122">
        <v>33418</v>
      </c>
      <c r="G10" s="122">
        <v>36141</v>
      </c>
      <c r="H10" s="292">
        <v>36357</v>
      </c>
      <c r="I10" s="122">
        <f ca="1">NWC!I9</f>
        <v>40657.758241614007</v>
      </c>
      <c r="J10" s="122">
        <f ca="1">NWC!J9</f>
        <v>44747.314398730807</v>
      </c>
      <c r="K10" s="122">
        <f ca="1">NWC!K9</f>
        <v>49100.082151996539</v>
      </c>
      <c r="L10" s="122">
        <f ca="1">NWC!L9</f>
        <v>53736.944052643616</v>
      </c>
      <c r="M10" s="122">
        <f ca="1">NWC!M9</f>
        <v>58610.458552119439</v>
      </c>
    </row>
    <row r="11" spans="1:17" ht="15" customHeight="1" x14ac:dyDescent="0.2">
      <c r="A11" s="137"/>
      <c r="B11" s="141" t="s">
        <v>146</v>
      </c>
      <c r="C11" s="122">
        <v>713</v>
      </c>
      <c r="D11" s="142">
        <v>947</v>
      </c>
      <c r="E11" s="122">
        <v>800</v>
      </c>
      <c r="F11" s="122">
        <v>1148</v>
      </c>
      <c r="G11" s="122">
        <v>1287</v>
      </c>
      <c r="H11" s="292">
        <v>1898</v>
      </c>
      <c r="I11" s="122">
        <f ca="1">NWC!I10</f>
        <v>1740.8174905806554</v>
      </c>
      <c r="J11" s="122">
        <f ca="1">NWC!J10</f>
        <v>1915.917427097424</v>
      </c>
      <c r="K11" s="122">
        <f ca="1">NWC!K10</f>
        <v>2102.2871278637804</v>
      </c>
      <c r="L11" s="122">
        <f ca="1">NWC!L10</f>
        <v>2300.8207078532373</v>
      </c>
      <c r="M11" s="122">
        <f ca="1">NWC!M10</f>
        <v>2509.4868923208924</v>
      </c>
    </row>
    <row r="12" spans="1:17" ht="15" customHeight="1" x14ac:dyDescent="0.2">
      <c r="A12" s="137"/>
      <c r="B12" s="143" t="s">
        <v>147</v>
      </c>
      <c r="C12" s="140">
        <f>SUM(C6:C11)</f>
        <v>32645</v>
      </c>
      <c r="D12" s="138">
        <f>SUM(D6:D11)</f>
        <v>32963</v>
      </c>
      <c r="E12" s="138">
        <v>38495</v>
      </c>
      <c r="F12" s="138">
        <v>50995</v>
      </c>
      <c r="G12" s="298">
        <v>52574</v>
      </c>
      <c r="H12" s="295">
        <v>57517</v>
      </c>
      <c r="I12" s="144">
        <f t="shared" ref="I12:L12" ca="1" si="1">SUM(I7:I11)</f>
        <v>56476.699397309902</v>
      </c>
      <c r="J12" s="144">
        <f t="shared" ca="1" si="1"/>
        <v>61813.191906241518</v>
      </c>
      <c r="K12" s="144">
        <f t="shared" ca="1" si="1"/>
        <v>67448.3395598676</v>
      </c>
      <c r="L12" s="144">
        <f t="shared" ca="1" si="1"/>
        <v>73404.593781514559</v>
      </c>
      <c r="M12" s="144">
        <f ca="1">SUM(M7:M11)</f>
        <v>79610.958395446185</v>
      </c>
    </row>
    <row r="13" spans="1:17" ht="15" customHeight="1" x14ac:dyDescent="0.2">
      <c r="A13" s="137"/>
      <c r="B13" s="141" t="s">
        <v>148</v>
      </c>
      <c r="C13" s="122">
        <v>1961</v>
      </c>
      <c r="D13" s="122">
        <v>971</v>
      </c>
      <c r="E13" s="122">
        <v>2863</v>
      </c>
      <c r="F13" s="122">
        <v>6089</v>
      </c>
      <c r="G13" s="122">
        <v>6797</v>
      </c>
      <c r="H13" s="292">
        <v>5018</v>
      </c>
      <c r="I13" s="137">
        <f>$H$13</f>
        <v>5018</v>
      </c>
      <c r="J13" s="137">
        <f t="shared" ref="J13:M13" si="2">$H$13</f>
        <v>5018</v>
      </c>
      <c r="K13" s="137">
        <f t="shared" si="2"/>
        <v>5018</v>
      </c>
      <c r="L13" s="137">
        <f t="shared" si="2"/>
        <v>5018</v>
      </c>
      <c r="M13" s="137">
        <f t="shared" si="2"/>
        <v>5018</v>
      </c>
    </row>
    <row r="14" spans="1:17" ht="15" customHeight="1" x14ac:dyDescent="0.2">
      <c r="A14" s="137"/>
      <c r="B14" s="141" t="s">
        <v>149</v>
      </c>
      <c r="C14" s="122">
        <v>1528</v>
      </c>
      <c r="D14" s="122">
        <v>1724</v>
      </c>
      <c r="E14" s="122">
        <v>1693</v>
      </c>
      <c r="F14" s="122">
        <v>1807</v>
      </c>
      <c r="G14" s="122">
        <v>1909</v>
      </c>
      <c r="H14" s="292">
        <v>1730</v>
      </c>
      <c r="I14" s="122">
        <f>$H$14</f>
        <v>1730</v>
      </c>
      <c r="J14" s="122">
        <f t="shared" ref="J14:M14" si="3">$H$14</f>
        <v>1730</v>
      </c>
      <c r="K14" s="122">
        <f t="shared" si="3"/>
        <v>1730</v>
      </c>
      <c r="L14" s="122">
        <f t="shared" si="3"/>
        <v>1730</v>
      </c>
      <c r="M14" s="122">
        <f t="shared" si="3"/>
        <v>1730</v>
      </c>
      <c r="N14" s="111"/>
      <c r="O14" s="111"/>
      <c r="P14" s="111"/>
      <c r="Q14" s="111"/>
    </row>
    <row r="15" spans="1:17" ht="15" customHeight="1" x14ac:dyDescent="0.2">
      <c r="A15" s="137"/>
      <c r="B15" s="141" t="s">
        <v>11</v>
      </c>
      <c r="C15" s="122">
        <v>4339</v>
      </c>
      <c r="D15" s="122">
        <v>6284</v>
      </c>
      <c r="E15" s="122">
        <v>6212</v>
      </c>
      <c r="F15" s="122">
        <v>9135</v>
      </c>
      <c r="G15" s="122">
        <v>11454</v>
      </c>
      <c r="H15" s="292">
        <v>11209</v>
      </c>
      <c r="I15" s="122">
        <f>H15*1.05</f>
        <v>11769.45</v>
      </c>
      <c r="J15" s="122">
        <f t="shared" ref="J15:M15" si="4">I15*1.05</f>
        <v>12357.922500000001</v>
      </c>
      <c r="K15" s="122">
        <f t="shared" si="4"/>
        <v>12975.818625000002</v>
      </c>
      <c r="L15" s="122">
        <f t="shared" si="4"/>
        <v>13624.609556250003</v>
      </c>
      <c r="M15" s="122">
        <f t="shared" si="4"/>
        <v>14305.840034062503</v>
      </c>
      <c r="N15" s="111"/>
      <c r="O15" s="111"/>
      <c r="P15" s="111"/>
      <c r="Q15" s="111"/>
    </row>
    <row r="16" spans="1:17" ht="15" customHeight="1" x14ac:dyDescent="0.2">
      <c r="A16" s="137"/>
      <c r="B16" s="141" t="s">
        <v>150</v>
      </c>
      <c r="C16" s="122">
        <v>168</v>
      </c>
      <c r="D16" s="122">
        <v>825</v>
      </c>
      <c r="E16" s="122">
        <v>778</v>
      </c>
      <c r="F16" s="122">
        <v>1048</v>
      </c>
      <c r="G16" s="122">
        <v>1332</v>
      </c>
      <c r="H16" s="292">
        <v>788</v>
      </c>
      <c r="I16" s="122">
        <f>H16*1.1</f>
        <v>866.80000000000007</v>
      </c>
      <c r="J16" s="122">
        <f t="shared" ref="J16:M16" si="5">I16*1.1</f>
        <v>953.48000000000013</v>
      </c>
      <c r="K16" s="122">
        <f t="shared" si="5"/>
        <v>1048.8280000000002</v>
      </c>
      <c r="L16" s="122">
        <f t="shared" si="5"/>
        <v>1153.7108000000003</v>
      </c>
      <c r="M16" s="122">
        <f t="shared" si="5"/>
        <v>1269.0818800000004</v>
      </c>
      <c r="N16" s="111"/>
      <c r="O16" s="111"/>
      <c r="P16" s="111"/>
      <c r="Q16" s="111"/>
    </row>
    <row r="17" spans="1:17" ht="15" customHeight="1" x14ac:dyDescent="0.2">
      <c r="A17" s="137"/>
      <c r="B17" s="146" t="s">
        <v>151</v>
      </c>
      <c r="C17" s="122">
        <v>133</v>
      </c>
      <c r="D17" s="122">
        <v>565</v>
      </c>
      <c r="E17" s="122">
        <v>1292</v>
      </c>
      <c r="F17" s="147">
        <v>1305</v>
      </c>
      <c r="G17" s="147">
        <v>1737</v>
      </c>
      <c r="H17" s="296">
        <v>2455</v>
      </c>
      <c r="I17" s="147">
        <f>$H$17</f>
        <v>2455</v>
      </c>
      <c r="J17" s="147">
        <f t="shared" ref="J17:M17" si="6">$H$17</f>
        <v>2455</v>
      </c>
      <c r="K17" s="147">
        <f t="shared" si="6"/>
        <v>2455</v>
      </c>
      <c r="L17" s="147">
        <f t="shared" si="6"/>
        <v>2455</v>
      </c>
      <c r="M17" s="147">
        <f t="shared" si="6"/>
        <v>2455</v>
      </c>
      <c r="N17" s="111"/>
      <c r="O17" s="111"/>
      <c r="P17" s="111"/>
      <c r="Q17" s="111"/>
    </row>
    <row r="18" spans="1:17" ht="15" customHeight="1" x14ac:dyDescent="0.2">
      <c r="A18" s="137"/>
      <c r="B18" s="143" t="s">
        <v>152</v>
      </c>
      <c r="C18" s="139">
        <f>SUM(C13:C17)+C12</f>
        <v>40774</v>
      </c>
      <c r="D18" s="138">
        <f>SUM(D13:D17)+D12</f>
        <v>43332</v>
      </c>
      <c r="E18" s="138">
        <f>SUM(E13:E17)+E12</f>
        <v>51333</v>
      </c>
      <c r="F18" s="138">
        <v>70379</v>
      </c>
      <c r="G18" s="298">
        <v>75803</v>
      </c>
      <c r="H18" s="295">
        <v>78717</v>
      </c>
      <c r="I18" s="138">
        <f t="shared" ref="I18:M18" ca="1" si="7">I12+SUM(I13:I17)</f>
        <v>78315.949397309902</v>
      </c>
      <c r="J18" s="138">
        <f t="shared" ca="1" si="7"/>
        <v>84327.594406241522</v>
      </c>
      <c r="K18" s="138">
        <f t="shared" ca="1" si="7"/>
        <v>90675.986184867594</v>
      </c>
      <c r="L18" s="138">
        <f t="shared" ca="1" si="7"/>
        <v>97385.914137764572</v>
      </c>
      <c r="M18" s="138">
        <f t="shared" ca="1" si="7"/>
        <v>104388.88030950869</v>
      </c>
      <c r="N18" s="111"/>
      <c r="O18" s="111"/>
      <c r="P18" s="111"/>
      <c r="Q18" s="111"/>
    </row>
    <row r="19" spans="1:17" ht="15" customHeight="1" x14ac:dyDescent="0.2">
      <c r="A19" s="137"/>
      <c r="B19" s="148" t="s">
        <v>153</v>
      </c>
      <c r="C19" s="137"/>
      <c r="D19" s="137"/>
      <c r="E19" s="137"/>
      <c r="F19" s="137"/>
      <c r="G19" s="137"/>
      <c r="H19" s="292"/>
      <c r="I19" s="122"/>
      <c r="J19" s="122"/>
      <c r="K19" s="122"/>
      <c r="L19" s="122"/>
      <c r="M19" s="122"/>
      <c r="N19" s="111"/>
      <c r="O19" s="111"/>
      <c r="P19" s="111"/>
      <c r="Q19" s="111"/>
    </row>
    <row r="20" spans="1:17" ht="15" customHeight="1" x14ac:dyDescent="0.2">
      <c r="A20" s="137"/>
      <c r="B20" s="141" t="s">
        <v>154</v>
      </c>
      <c r="C20" s="122">
        <v>257</v>
      </c>
      <c r="D20" s="122">
        <v>281</v>
      </c>
      <c r="E20" s="122">
        <v>232</v>
      </c>
      <c r="F20" s="122">
        <v>252</v>
      </c>
      <c r="G20" s="122">
        <v>197</v>
      </c>
      <c r="H20" s="292">
        <v>126</v>
      </c>
      <c r="I20" s="122">
        <f ca="1">NWC!I13</f>
        <v>473.1551970710064</v>
      </c>
      <c r="J20" s="122">
        <f ca="1">NWC!J13</f>
        <v>523.34082456429212</v>
      </c>
      <c r="K20" s="122">
        <f ca="1">NWC!K13</f>
        <v>577.09411625223333</v>
      </c>
      <c r="L20" s="122">
        <f ca="1">NWC!L13</f>
        <v>631.59312324887969</v>
      </c>
      <c r="M20" s="122">
        <f ca="1">NWC!M13</f>
        <v>688.87360873586942</v>
      </c>
      <c r="N20" s="111"/>
      <c r="O20" s="111"/>
      <c r="P20" s="111"/>
      <c r="Q20" s="111"/>
    </row>
    <row r="21" spans="1:17" ht="15" customHeight="1" x14ac:dyDescent="0.2">
      <c r="A21" s="137"/>
      <c r="B21" s="141" t="s">
        <v>188</v>
      </c>
      <c r="C21" s="137">
        <v>1000</v>
      </c>
      <c r="D21" s="142">
        <v>1998</v>
      </c>
      <c r="E21" s="122">
        <v>0</v>
      </c>
      <c r="F21" s="122">
        <v>0</v>
      </c>
      <c r="G21" s="122">
        <v>0</v>
      </c>
      <c r="H21" s="145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11"/>
      <c r="O21" s="111"/>
      <c r="P21" s="111"/>
      <c r="Q21" s="111"/>
    </row>
    <row r="22" spans="1:17" ht="15" customHeight="1" x14ac:dyDescent="0.2">
      <c r="A22" s="137"/>
      <c r="B22" s="141" t="s">
        <v>155</v>
      </c>
      <c r="C22" s="137">
        <v>19742</v>
      </c>
      <c r="D22" s="122">
        <v>21562</v>
      </c>
      <c r="E22" s="122">
        <v>24527</v>
      </c>
      <c r="F22" s="122">
        <v>35418</v>
      </c>
      <c r="G22" s="122">
        <v>38841</v>
      </c>
      <c r="H22" s="292">
        <v>40107</v>
      </c>
      <c r="I22" s="122">
        <f ca="1">NWC!I14</f>
        <v>45583.050808601161</v>
      </c>
      <c r="J22" s="122">
        <f ca="1">NWC!J14</f>
        <v>52695.853186742686</v>
      </c>
      <c r="K22" s="122">
        <f ca="1">NWC!K14</f>
        <v>57821.810209284915</v>
      </c>
      <c r="L22" s="122">
        <f ca="1">NWC!L14</f>
        <v>63282.325488177921</v>
      </c>
      <c r="M22" s="122">
        <f ca="1">NWC!M14</f>
        <v>69021.530354853094</v>
      </c>
      <c r="N22" s="111"/>
      <c r="O22" s="111"/>
      <c r="P22" s="111"/>
      <c r="Q22" s="111"/>
    </row>
    <row r="23" spans="1:17" ht="15" customHeight="1" x14ac:dyDescent="0.2">
      <c r="A23" s="137"/>
      <c r="B23" s="141" t="s">
        <v>156</v>
      </c>
      <c r="C23" s="137">
        <v>1781</v>
      </c>
      <c r="D23" s="122">
        <v>2002</v>
      </c>
      <c r="E23" s="122">
        <v>2087</v>
      </c>
      <c r="F23" s="122">
        <v>2648</v>
      </c>
      <c r="G23" s="122">
        <v>3755</v>
      </c>
      <c r="H23" s="292">
        <v>4055</v>
      </c>
      <c r="I23" s="122">
        <f ca="1">NWC!I15</f>
        <v>4541.4809037711184</v>
      </c>
      <c r="J23" s="122">
        <f ca="1">NWC!J15</f>
        <v>5023.1771216620191</v>
      </c>
      <c r="K23" s="122">
        <f ca="1">NWC!K15</f>
        <v>5539.1168159247227</v>
      </c>
      <c r="L23" s="122">
        <f ca="1">NWC!L15</f>
        <v>6062.2141021468897</v>
      </c>
      <c r="M23" s="122">
        <f ca="1">NWC!M15</f>
        <v>6612.0088261787678</v>
      </c>
      <c r="N23" s="111"/>
      <c r="O23" s="111"/>
      <c r="P23" s="111"/>
      <c r="Q23" s="111"/>
    </row>
    <row r="24" spans="1:17" ht="15" customHeight="1" x14ac:dyDescent="0.2">
      <c r="A24" s="137"/>
      <c r="B24" s="141" t="s">
        <v>157</v>
      </c>
      <c r="C24" s="137">
        <v>83</v>
      </c>
      <c r="D24" s="122">
        <v>61</v>
      </c>
      <c r="E24" s="122">
        <v>73</v>
      </c>
      <c r="F24" s="122">
        <v>129</v>
      </c>
      <c r="G24" s="122">
        <v>236</v>
      </c>
      <c r="H24" s="292">
        <v>813</v>
      </c>
      <c r="I24" s="122">
        <f ca="1">NWC!I16</f>
        <v>156.20418153888528</v>
      </c>
      <c r="J24" s="122">
        <f ca="1">NWC!J16</f>
        <v>192.49602167395895</v>
      </c>
      <c r="K24" s="122">
        <f ca="1">NWC!K16</f>
        <v>213.390066298763</v>
      </c>
      <c r="L24" s="122">
        <f ca="1">NWC!L16</f>
        <v>238.37544489382697</v>
      </c>
      <c r="M24" s="122">
        <f ca="1">NWC!M16</f>
        <v>266.64802646501323</v>
      </c>
      <c r="N24" s="111"/>
      <c r="O24" s="111"/>
      <c r="P24" s="111"/>
      <c r="Q24" s="111"/>
    </row>
    <row r="25" spans="1:17" ht="15" customHeight="1" x14ac:dyDescent="0.2">
      <c r="A25" s="137"/>
      <c r="B25" s="143" t="s">
        <v>158</v>
      </c>
      <c r="C25" s="140">
        <f>SUM(C20:C24)</f>
        <v>22863</v>
      </c>
      <c r="D25" s="140">
        <f>SUM(D20:D24)</f>
        <v>25904</v>
      </c>
      <c r="E25" s="140">
        <f>SUM(E20:E24)</f>
        <v>26919</v>
      </c>
      <c r="F25" s="138">
        <v>38447</v>
      </c>
      <c r="G25" s="298">
        <v>43029</v>
      </c>
      <c r="H25" s="297">
        <v>45101</v>
      </c>
      <c r="I25" s="138">
        <f t="shared" ref="I25:M25" ca="1" si="8">SUM(I20:I24)</f>
        <v>50753.891090982172</v>
      </c>
      <c r="J25" s="138">
        <f t="shared" ca="1" si="8"/>
        <v>58434.867154642954</v>
      </c>
      <c r="K25" s="138">
        <f t="shared" ca="1" si="8"/>
        <v>64151.411207760641</v>
      </c>
      <c r="L25" s="138">
        <f t="shared" ca="1" si="8"/>
        <v>70214.508158467521</v>
      </c>
      <c r="M25" s="138">
        <f t="shared" ca="1" si="8"/>
        <v>76589.060816232741</v>
      </c>
      <c r="N25" s="111"/>
      <c r="O25" s="111"/>
      <c r="P25" s="111"/>
      <c r="Q25" s="111"/>
    </row>
    <row r="26" spans="1:17" ht="15" customHeight="1" x14ac:dyDescent="0.2">
      <c r="A26" s="137"/>
      <c r="B26" s="141" t="s">
        <v>159</v>
      </c>
      <c r="C26" s="137">
        <v>1917</v>
      </c>
      <c r="D26" s="122">
        <v>2042</v>
      </c>
      <c r="E26" s="122">
        <v>2520</v>
      </c>
      <c r="F26" s="122">
        <v>2930</v>
      </c>
      <c r="G26" s="122">
        <v>2998</v>
      </c>
      <c r="H26" s="292">
        <v>2925</v>
      </c>
      <c r="I26" s="122"/>
      <c r="J26" s="122"/>
      <c r="K26" s="122"/>
      <c r="L26" s="122"/>
      <c r="M26" s="122"/>
      <c r="N26" s="111"/>
      <c r="O26" s="111"/>
      <c r="P26" s="111"/>
      <c r="Q26" s="111"/>
    </row>
    <row r="27" spans="1:17" ht="15" customHeight="1" x14ac:dyDescent="0.2">
      <c r="A27" s="137"/>
      <c r="B27" s="141" t="s">
        <v>160</v>
      </c>
      <c r="C27" s="137">
        <v>0</v>
      </c>
      <c r="D27" s="142">
        <v>0</v>
      </c>
      <c r="E27" s="122">
        <v>4965</v>
      </c>
      <c r="F27" s="122">
        <v>8939</v>
      </c>
      <c r="G27" s="122">
        <v>8049</v>
      </c>
      <c r="H27" s="292">
        <v>10417</v>
      </c>
      <c r="I27" s="122">
        <f t="shared" ref="I27:M27" si="9">$G27</f>
        <v>8049</v>
      </c>
      <c r="J27" s="122">
        <f t="shared" si="9"/>
        <v>8049</v>
      </c>
      <c r="K27" s="122">
        <f t="shared" si="9"/>
        <v>8049</v>
      </c>
      <c r="L27" s="122">
        <f t="shared" si="9"/>
        <v>8049</v>
      </c>
      <c r="M27" s="122">
        <f t="shared" si="9"/>
        <v>8049</v>
      </c>
      <c r="N27" s="111"/>
      <c r="O27" s="111"/>
      <c r="P27" s="111"/>
      <c r="Q27" s="111"/>
    </row>
    <row r="28" spans="1:17" ht="15" customHeight="1" x14ac:dyDescent="0.2">
      <c r="A28" s="137"/>
      <c r="B28" s="143" t="s">
        <v>161</v>
      </c>
      <c r="C28" s="140">
        <f>SUM(C26:C27)+C25</f>
        <v>24780</v>
      </c>
      <c r="D28" s="138">
        <f>D25+SUM(D26:D27)</f>
        <v>27946</v>
      </c>
      <c r="E28" s="140">
        <f>E25+SUM(E26:E27)</f>
        <v>34404</v>
      </c>
      <c r="F28" s="138">
        <v>50316</v>
      </c>
      <c r="G28" s="298">
        <v>54076</v>
      </c>
      <c r="H28" s="295">
        <v>58443</v>
      </c>
      <c r="I28" s="138">
        <f t="shared" ref="I28:M28" ca="1" si="10">SUM(I26:I27)+I25</f>
        <v>58802.891090982172</v>
      </c>
      <c r="J28" s="138">
        <f t="shared" ca="1" si="10"/>
        <v>66483.867154642954</v>
      </c>
      <c r="K28" s="138">
        <f t="shared" ca="1" si="10"/>
        <v>72200.411207760641</v>
      </c>
      <c r="L28" s="138">
        <f t="shared" ca="1" si="10"/>
        <v>78263.508158467521</v>
      </c>
      <c r="M28" s="138">
        <f t="shared" ca="1" si="10"/>
        <v>84638.060816232741</v>
      </c>
      <c r="N28" s="111"/>
      <c r="O28" s="111"/>
      <c r="P28" s="111"/>
      <c r="Q28" s="111"/>
    </row>
    <row r="29" spans="1:17" ht="15" customHeight="1" x14ac:dyDescent="0.2">
      <c r="A29" s="137"/>
      <c r="B29" s="148" t="s">
        <v>162</v>
      </c>
      <c r="C29" s="137"/>
      <c r="D29" s="137"/>
      <c r="E29" s="137"/>
      <c r="F29" s="137"/>
      <c r="G29" s="137"/>
      <c r="H29" s="292"/>
      <c r="I29" s="122"/>
      <c r="J29" s="122"/>
      <c r="K29" s="122"/>
      <c r="L29" s="122"/>
      <c r="M29" s="122"/>
      <c r="N29" s="111"/>
      <c r="O29" s="111"/>
      <c r="P29" s="111"/>
      <c r="Q29" s="111"/>
    </row>
    <row r="30" spans="1:17" ht="15" customHeight="1" x14ac:dyDescent="0.2">
      <c r="A30" s="137"/>
      <c r="B30" s="141" t="s">
        <v>163</v>
      </c>
      <c r="C30" s="137">
        <v>0</v>
      </c>
      <c r="D30" s="122">
        <v>0</v>
      </c>
      <c r="E30" s="122">
        <v>0</v>
      </c>
      <c r="F30" s="122">
        <v>0</v>
      </c>
      <c r="G30" s="122">
        <v>0</v>
      </c>
      <c r="H30" s="292"/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11"/>
      <c r="O30" s="111"/>
      <c r="P30" s="111"/>
      <c r="Q30" s="111"/>
    </row>
    <row r="31" spans="1:17" ht="15" customHeight="1" x14ac:dyDescent="0.2">
      <c r="A31" s="137"/>
      <c r="B31" s="141" t="s">
        <v>164</v>
      </c>
      <c r="C31" s="137">
        <v>0</v>
      </c>
      <c r="D31" s="122">
        <v>0</v>
      </c>
      <c r="E31" s="122">
        <v>0</v>
      </c>
      <c r="F31" s="122">
        <v>0</v>
      </c>
      <c r="G31" s="122">
        <v>0</v>
      </c>
      <c r="H31" s="292"/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11"/>
      <c r="O31" s="111"/>
      <c r="P31" s="111"/>
      <c r="Q31" s="111"/>
    </row>
    <row r="32" spans="1:17" ht="15" customHeight="1" x14ac:dyDescent="0.2">
      <c r="A32" s="137"/>
      <c r="B32" s="141" t="s">
        <v>165</v>
      </c>
      <c r="C32" s="122">
        <v>-2001</v>
      </c>
      <c r="D32" s="122">
        <v>-5511</v>
      </c>
      <c r="E32" s="122">
        <v>-6872</v>
      </c>
      <c r="F32" s="122">
        <v>-8507</v>
      </c>
      <c r="G32" s="122">
        <v>-11880</v>
      </c>
      <c r="H32" s="292">
        <v>-16079</v>
      </c>
      <c r="I32" s="122">
        <f>H32-1500</f>
        <v>-17579</v>
      </c>
      <c r="J32" s="122">
        <f t="shared" ref="J32:M32" si="11">I32-1500</f>
        <v>-19079</v>
      </c>
      <c r="K32" s="122">
        <f t="shared" si="11"/>
        <v>-20579</v>
      </c>
      <c r="L32" s="122">
        <f t="shared" si="11"/>
        <v>-22079</v>
      </c>
      <c r="M32" s="122">
        <f t="shared" si="11"/>
        <v>-23579</v>
      </c>
      <c r="N32" s="111"/>
      <c r="O32" s="111"/>
      <c r="P32" s="111"/>
      <c r="Q32" s="111"/>
    </row>
    <row r="33" spans="1:17" ht="15" customHeight="1" x14ac:dyDescent="0.2">
      <c r="A33" s="137"/>
      <c r="B33" s="141" t="s">
        <v>166</v>
      </c>
      <c r="C33" s="122">
        <v>14314</v>
      </c>
      <c r="D33" s="122">
        <v>14939</v>
      </c>
      <c r="E33" s="122">
        <v>15588</v>
      </c>
      <c r="F33" s="122">
        <v>16644</v>
      </c>
      <c r="G33" s="122">
        <v>17208</v>
      </c>
      <c r="H33" s="292">
        <v>18327</v>
      </c>
      <c r="I33" s="122">
        <f t="shared" ref="I33:M33" si="12">$G33</f>
        <v>17208</v>
      </c>
      <c r="J33" s="122">
        <f t="shared" si="12"/>
        <v>17208</v>
      </c>
      <c r="K33" s="122">
        <f t="shared" si="12"/>
        <v>17208</v>
      </c>
      <c r="L33" s="122">
        <f t="shared" si="12"/>
        <v>17208</v>
      </c>
      <c r="M33" s="122">
        <f t="shared" si="12"/>
        <v>17208</v>
      </c>
      <c r="N33" s="111"/>
      <c r="O33" s="111"/>
      <c r="P33" s="111"/>
      <c r="Q33" s="111"/>
    </row>
    <row r="34" spans="1:17" ht="15" customHeight="1" x14ac:dyDescent="0.2">
      <c r="A34" s="137"/>
      <c r="B34" s="141" t="s">
        <v>167</v>
      </c>
      <c r="C34" s="122">
        <v>3823</v>
      </c>
      <c r="D34" s="122">
        <v>5880</v>
      </c>
      <c r="E34" s="122">
        <v>8342</v>
      </c>
      <c r="F34" s="122">
        <v>12366</v>
      </c>
      <c r="G34" s="122">
        <v>16535</v>
      </c>
      <c r="H34" s="292">
        <v>18954</v>
      </c>
      <c r="I34" s="122">
        <f ca="1">H34+IS!I32+(0.5*I42)</f>
        <v>19034.691314012118</v>
      </c>
      <c r="J34" s="122">
        <f ca="1">I34+IS!J32</f>
        <v>23419.322918807848</v>
      </c>
      <c r="K34" s="122">
        <f ca="1">J34+IS!K32</f>
        <v>28279.874428946339</v>
      </c>
      <c r="L34" s="122">
        <f ca="1">K34+IS!L32</f>
        <v>33709.537340416842</v>
      </c>
      <c r="M34" s="122">
        <f ca="1">L34+IS!M32</f>
        <v>39783.186832119922</v>
      </c>
      <c r="N34" s="111"/>
      <c r="O34" s="111"/>
      <c r="P34" s="111"/>
      <c r="Q34" s="111"/>
    </row>
    <row r="35" spans="1:17" ht="15" customHeight="1" x14ac:dyDescent="0.2">
      <c r="A35" s="137"/>
      <c r="B35" s="141" t="s">
        <v>168</v>
      </c>
      <c r="C35" s="122">
        <v>-142</v>
      </c>
      <c r="D35" s="122">
        <v>78</v>
      </c>
      <c r="E35" s="122">
        <v>-173</v>
      </c>
      <c r="F35" s="122">
        <v>-484</v>
      </c>
      <c r="G35" s="122">
        <v>-136</v>
      </c>
      <c r="H35" s="292">
        <v>-928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11"/>
      <c r="O35" s="111"/>
      <c r="P35" s="111"/>
      <c r="Q35" s="111"/>
    </row>
    <row r="36" spans="1:17" ht="15" customHeight="1" x14ac:dyDescent="0.2">
      <c r="A36" s="137"/>
      <c r="B36" s="143" t="s">
        <v>169</v>
      </c>
      <c r="C36" s="138">
        <f>SUM(C32:C35)</f>
        <v>15994</v>
      </c>
      <c r="D36" s="138">
        <f>SUM(D32:D35)</f>
        <v>15386</v>
      </c>
      <c r="E36" s="138">
        <v>16885</v>
      </c>
      <c r="F36" s="138">
        <v>20019</v>
      </c>
      <c r="G36" s="298">
        <v>21727</v>
      </c>
      <c r="H36" s="295">
        <v>20274</v>
      </c>
      <c r="I36" s="138">
        <f t="shared" ref="I36:M36" ca="1" si="13">SUM(I30:I35)</f>
        <v>18663.691314012118</v>
      </c>
      <c r="J36" s="138">
        <f t="shared" ca="1" si="13"/>
        <v>21548.322918807848</v>
      </c>
      <c r="K36" s="138">
        <f t="shared" ca="1" si="13"/>
        <v>24908.874428946339</v>
      </c>
      <c r="L36" s="138">
        <f t="shared" ca="1" si="13"/>
        <v>28838.537340416842</v>
      </c>
      <c r="M36" s="138">
        <f t="shared" ca="1" si="13"/>
        <v>33412.186832119922</v>
      </c>
      <c r="N36" s="111"/>
      <c r="O36" s="111"/>
      <c r="P36" s="111"/>
      <c r="Q36" s="111"/>
    </row>
    <row r="37" spans="1:17" ht="15" customHeight="1" x14ac:dyDescent="0.2">
      <c r="A37" s="137"/>
      <c r="B37" s="141" t="s">
        <v>170</v>
      </c>
      <c r="C37" s="122">
        <v>0</v>
      </c>
      <c r="D37" s="122">
        <v>0</v>
      </c>
      <c r="E37" s="122">
        <v>44</v>
      </c>
      <c r="F37" s="122">
        <v>44</v>
      </c>
      <c r="G37" s="122">
        <v>0</v>
      </c>
      <c r="H37" s="292"/>
      <c r="I37" s="122">
        <v>0</v>
      </c>
      <c r="J37" s="122">
        <v>0</v>
      </c>
      <c r="K37" s="122">
        <v>0</v>
      </c>
      <c r="L37" s="122">
        <v>0</v>
      </c>
      <c r="M37" s="122">
        <v>0</v>
      </c>
      <c r="N37" s="111"/>
      <c r="O37" s="111"/>
      <c r="P37" s="111"/>
      <c r="Q37" s="111"/>
    </row>
    <row r="38" spans="1:17" ht="15" customHeight="1" x14ac:dyDescent="0.2">
      <c r="A38" s="137"/>
      <c r="B38" s="143" t="s">
        <v>171</v>
      </c>
      <c r="C38" s="140">
        <f>SUM(C36+C37)</f>
        <v>15994</v>
      </c>
      <c r="D38" s="140">
        <f>SUM(D36+D37)</f>
        <v>15386</v>
      </c>
      <c r="E38" s="138">
        <v>16929</v>
      </c>
      <c r="F38" s="138">
        <v>20063</v>
      </c>
      <c r="G38" s="298">
        <v>21727</v>
      </c>
      <c r="H38" s="263">
        <f>SUM(H36:H37)</f>
        <v>20274</v>
      </c>
      <c r="I38" s="138">
        <f t="shared" ref="I38:M38" ca="1" si="14">SUM(I36:I37)</f>
        <v>18663.691314012118</v>
      </c>
      <c r="J38" s="138">
        <f t="shared" ca="1" si="14"/>
        <v>21548.322918807848</v>
      </c>
      <c r="K38" s="138">
        <f t="shared" ca="1" si="14"/>
        <v>24908.874428946339</v>
      </c>
      <c r="L38" s="138">
        <f t="shared" ca="1" si="14"/>
        <v>28838.537340416842</v>
      </c>
      <c r="M38" s="138">
        <f t="shared" ca="1" si="14"/>
        <v>33412.186832119922</v>
      </c>
      <c r="N38" s="111"/>
      <c r="O38" s="111"/>
      <c r="P38" s="111"/>
      <c r="Q38" s="111"/>
    </row>
    <row r="39" spans="1:17" ht="15" customHeight="1" x14ac:dyDescent="0.2">
      <c r="A39" s="137"/>
      <c r="B39" s="143" t="s">
        <v>172</v>
      </c>
      <c r="C39" s="140">
        <f>SUM(C38+C28)</f>
        <v>40774</v>
      </c>
      <c r="D39" s="140">
        <f>SUM(D38+D28)</f>
        <v>43332</v>
      </c>
      <c r="E39" s="138">
        <v>51333</v>
      </c>
      <c r="F39" s="138">
        <v>70379</v>
      </c>
      <c r="G39" s="298">
        <v>75803</v>
      </c>
      <c r="H39" s="263">
        <f>H38+H28</f>
        <v>78717</v>
      </c>
      <c r="I39" s="138">
        <f t="shared" ref="I39:M39" ca="1" si="15">I38+I28</f>
        <v>77466.582404994289</v>
      </c>
      <c r="J39" s="138">
        <f t="shared" ca="1" si="15"/>
        <v>88032.190073450794</v>
      </c>
      <c r="K39" s="138">
        <f t="shared" ca="1" si="15"/>
        <v>97109.285636706976</v>
      </c>
      <c r="L39" s="138">
        <f t="shared" ca="1" si="15"/>
        <v>107102.04549888437</v>
      </c>
      <c r="M39" s="138">
        <f t="shared" ca="1" si="15"/>
        <v>118050.24764835267</v>
      </c>
      <c r="N39" s="111"/>
      <c r="O39" s="111"/>
      <c r="P39" s="111"/>
      <c r="Q39" s="111"/>
    </row>
    <row r="40" spans="1:17" x14ac:dyDescent="0.2"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x14ac:dyDescent="0.2">
      <c r="G41" s="241"/>
      <c r="H41" s="241" t="s">
        <v>227</v>
      </c>
      <c r="I41" s="253">
        <f t="shared" ref="I41:M41" ca="1" si="16">I18-I39</f>
        <v>849.36699231561215</v>
      </c>
      <c r="J41" s="253">
        <f t="shared" ca="1" si="16"/>
        <v>-3704.5956672092725</v>
      </c>
      <c r="K41" s="253">
        <f t="shared" ca="1" si="16"/>
        <v>-6433.2994518393825</v>
      </c>
      <c r="L41" s="253">
        <f t="shared" ca="1" si="16"/>
        <v>-9716.1313611197984</v>
      </c>
      <c r="M41" s="253">
        <f t="shared" ca="1" si="16"/>
        <v>-13661.367338843978</v>
      </c>
      <c r="N41" s="111"/>
      <c r="O41" s="111"/>
      <c r="P41" s="111"/>
      <c r="Q41" s="111"/>
    </row>
    <row r="42" spans="1:17" x14ac:dyDescent="0.2">
      <c r="B42" s="108"/>
      <c r="C42" s="111"/>
      <c r="D42" s="111"/>
      <c r="G42" s="241"/>
      <c r="H42" s="241"/>
      <c r="I42" s="241">
        <v>-6954.5856420805358</v>
      </c>
      <c r="J42" s="241">
        <v>-9238.7313092609693</v>
      </c>
      <c r="K42" s="241">
        <v>-11485.375107269399</v>
      </c>
      <c r="L42" s="241">
        <v>-16271.436182582911</v>
      </c>
      <c r="M42" s="241">
        <v>-20365.96521940596</v>
      </c>
    </row>
    <row r="43" spans="1:17" x14ac:dyDescent="0.2">
      <c r="B43" s="108"/>
      <c r="C43" s="111"/>
      <c r="D43" s="111"/>
    </row>
    <row r="44" spans="1:17" x14ac:dyDescent="0.2">
      <c r="B44" s="108"/>
      <c r="C44" s="111"/>
      <c r="D44" s="111"/>
    </row>
    <row r="45" spans="1:17" x14ac:dyDescent="0.2">
      <c r="B45" s="108"/>
      <c r="C45" s="111"/>
      <c r="D45" s="111"/>
    </row>
    <row r="46" spans="1:17" x14ac:dyDescent="0.2">
      <c r="B46" s="108"/>
      <c r="C46" s="111"/>
      <c r="D46" s="111"/>
    </row>
    <row r="47" spans="1:17" x14ac:dyDescent="0.2">
      <c r="B47" s="108"/>
      <c r="C47" s="111"/>
      <c r="D47" s="111"/>
    </row>
    <row r="48" spans="1:17" x14ac:dyDescent="0.2">
      <c r="B48" s="108"/>
      <c r="C48" s="109"/>
      <c r="D48" s="10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2B1B-48EE-3849-B4C9-29E3490EAC3B}">
  <dimension ref="A1:W35"/>
  <sheetViews>
    <sheetView showGridLines="0" zoomScale="107" zoomScaleNormal="86" workbookViewId="0">
      <selection activeCell="F33" sqref="F33"/>
    </sheetView>
  </sheetViews>
  <sheetFormatPr baseColWidth="10" defaultColWidth="11" defaultRowHeight="16" x14ac:dyDescent="0.2"/>
  <cols>
    <col min="1" max="1" width="3.33203125" customWidth="1"/>
    <col min="2" max="2" width="25" customWidth="1"/>
    <col min="3" max="7" width="12.1640625" customWidth="1"/>
    <col min="8" max="8" width="0.1640625" customWidth="1"/>
    <col min="9" max="9" width="12.1640625" bestFit="1" customWidth="1"/>
    <col min="10" max="10" width="11.6640625" bestFit="1" customWidth="1"/>
    <col min="11" max="13" width="12.1640625" bestFit="1" customWidth="1"/>
    <col min="16" max="16" width="5.83203125" customWidth="1"/>
    <col min="17" max="17" width="1" customWidth="1"/>
    <col min="18" max="18" width="11.5" customWidth="1"/>
    <col min="19" max="19" width="2.33203125" customWidth="1"/>
    <col min="21" max="21" width="7.1640625" customWidth="1"/>
    <col min="22" max="22" width="0.33203125" customWidth="1"/>
  </cols>
  <sheetData>
    <row r="1" spans="2:23" ht="31" x14ac:dyDescent="0.35">
      <c r="B1" s="20" t="s">
        <v>45</v>
      </c>
      <c r="C1" s="19"/>
      <c r="D1" s="19"/>
      <c r="E1" s="19"/>
      <c r="F1" s="19"/>
      <c r="G1" s="19"/>
      <c r="H1" s="17"/>
    </row>
    <row r="2" spans="2:23" x14ac:dyDescent="0.2">
      <c r="B2" s="223" t="s">
        <v>46</v>
      </c>
      <c r="C2" s="19">
        <f>Master!I20</f>
        <v>1</v>
      </c>
      <c r="D2" s="19"/>
      <c r="E2" s="19"/>
      <c r="F2" s="19"/>
      <c r="G2" s="19"/>
      <c r="H2" s="17"/>
    </row>
    <row r="3" spans="2:23" x14ac:dyDescent="0.2">
      <c r="B3" s="18" t="s">
        <v>62</v>
      </c>
      <c r="C3" s="18"/>
      <c r="D3" s="18"/>
      <c r="E3" s="17"/>
      <c r="F3" s="17"/>
      <c r="G3" s="17"/>
      <c r="H3" s="17"/>
    </row>
    <row r="4" spans="2:23" x14ac:dyDescent="0.2">
      <c r="B4" s="177"/>
      <c r="C4" s="28"/>
      <c r="D4" s="28"/>
      <c r="F4" s="28"/>
      <c r="G4" s="28"/>
      <c r="H4" s="28"/>
      <c r="I4" s="28"/>
      <c r="J4" s="178" t="s">
        <v>210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2:23" ht="19" customHeight="1" x14ac:dyDescent="0.2">
      <c r="B5" s="179"/>
      <c r="C5" s="180">
        <v>43008</v>
      </c>
      <c r="D5" s="180">
        <f t="shared" ref="D5:M5" si="0">+EOMONTH(C5,12)</f>
        <v>43373</v>
      </c>
      <c r="E5" s="180">
        <f>+EOMONTH(D5,12)</f>
        <v>43738</v>
      </c>
      <c r="F5" s="180">
        <f t="shared" si="0"/>
        <v>44104</v>
      </c>
      <c r="G5" s="180">
        <f>+EOMONTH(F5,12)</f>
        <v>44469</v>
      </c>
      <c r="H5" s="180">
        <f t="shared" si="0"/>
        <v>44834</v>
      </c>
      <c r="I5" s="181">
        <f t="shared" si="0"/>
        <v>45199</v>
      </c>
      <c r="J5" s="181">
        <f t="shared" si="0"/>
        <v>45565</v>
      </c>
      <c r="K5" s="181">
        <f t="shared" si="0"/>
        <v>45930</v>
      </c>
      <c r="L5" s="181">
        <f t="shared" si="0"/>
        <v>46295</v>
      </c>
      <c r="M5" s="181">
        <f t="shared" si="0"/>
        <v>46660</v>
      </c>
      <c r="N5" s="28"/>
      <c r="O5" s="149" t="s">
        <v>189</v>
      </c>
      <c r="P5" s="150"/>
      <c r="Q5" s="150"/>
      <c r="R5" s="151"/>
      <c r="S5" s="28"/>
      <c r="T5" s="149" t="s">
        <v>189</v>
      </c>
      <c r="U5" s="150"/>
      <c r="V5" s="150"/>
      <c r="W5" s="151"/>
    </row>
    <row r="6" spans="2:23" x14ac:dyDescent="0.2">
      <c r="B6" s="182" t="s">
        <v>0</v>
      </c>
      <c r="C6" s="213">
        <f>IS!C5</f>
        <v>13094</v>
      </c>
      <c r="D6" s="213">
        <f>IS!D5</f>
        <v>15451</v>
      </c>
      <c r="E6" s="213">
        <f>IS!E5</f>
        <v>17772</v>
      </c>
      <c r="F6" s="213">
        <f>IS!F5</f>
        <v>21454</v>
      </c>
      <c r="G6" s="213">
        <f>IS!G5</f>
        <v>25371</v>
      </c>
      <c r="H6" s="277">
        <f>IS!H5</f>
        <v>27518</v>
      </c>
      <c r="I6" s="212">
        <f ca="1">IS!I5</f>
        <v>31275.198647395388</v>
      </c>
      <c r="J6" s="212">
        <f ca="1">IS!J5</f>
        <v>34421.011075946772</v>
      </c>
      <c r="K6" s="212">
        <f ca="1">IS!K5</f>
        <v>37769.293963074262</v>
      </c>
      <c r="L6" s="212">
        <f ca="1">IS!L5</f>
        <v>41336.110809725855</v>
      </c>
      <c r="M6" s="212">
        <f ca="1">IS!M5</f>
        <v>45084.968117014949</v>
      </c>
      <c r="N6" s="28"/>
      <c r="O6" s="334" t="s">
        <v>190</v>
      </c>
      <c r="P6" s="335"/>
      <c r="Q6" s="335"/>
      <c r="R6" s="336"/>
      <c r="S6" s="28"/>
      <c r="T6" s="334" t="s">
        <v>191</v>
      </c>
      <c r="U6" s="335"/>
      <c r="V6" s="335"/>
      <c r="W6" s="336"/>
    </row>
    <row r="7" spans="2:23" x14ac:dyDescent="0.2">
      <c r="B7" s="118" t="s">
        <v>63</v>
      </c>
      <c r="C7" s="118"/>
      <c r="D7" s="86">
        <f>D6/C6-1</f>
        <v>0.18000610966855057</v>
      </c>
      <c r="E7" s="86">
        <f t="shared" ref="E7:M7" si="1">E6/D6-1</f>
        <v>0.15021681444566704</v>
      </c>
      <c r="F7" s="86">
        <f t="shared" si="1"/>
        <v>0.20717983344586988</v>
      </c>
      <c r="G7" s="269">
        <f t="shared" si="1"/>
        <v>0.18257667567819524</v>
      </c>
      <c r="H7" s="183">
        <f>H6/G6-1</f>
        <v>8.4624177210200546E-2</v>
      </c>
      <c r="I7" s="86">
        <f t="shared" ca="1" si="1"/>
        <v>0.1365360363178787</v>
      </c>
      <c r="J7" s="86">
        <f t="shared" ca="1" si="1"/>
        <v>0.10058489041166707</v>
      </c>
      <c r="K7" s="86">
        <f t="shared" ca="1" si="1"/>
        <v>9.7274390916054498E-2</v>
      </c>
      <c r="L7" s="86">
        <f t="shared" ca="1" si="1"/>
        <v>9.4436947911675118E-2</v>
      </c>
      <c r="M7" s="86">
        <f t="shared" ca="1" si="1"/>
        <v>9.0692066424571172E-2</v>
      </c>
      <c r="N7" s="28"/>
      <c r="O7" s="152" t="s">
        <v>192</v>
      </c>
      <c r="P7" s="153"/>
      <c r="Q7" s="153"/>
      <c r="R7" s="154">
        <f ca="1">M10</f>
        <v>7209.9581860957624</v>
      </c>
      <c r="S7" s="28"/>
      <c r="T7" s="152" t="s">
        <v>193</v>
      </c>
      <c r="U7" s="153"/>
      <c r="V7" s="153"/>
      <c r="W7" s="154">
        <f ca="1">M26</f>
        <v>6021.9207399203606</v>
      </c>
    </row>
    <row r="8" spans="2:23" x14ac:dyDescent="0.2">
      <c r="B8" s="118" t="s">
        <v>211</v>
      </c>
      <c r="C8" s="184">
        <f>IS!C10</f>
        <v>5430</v>
      </c>
      <c r="D8" s="184">
        <f>IS!D10</f>
        <v>6855</v>
      </c>
      <c r="E8" s="184">
        <f>IS!E10</f>
        <v>8170</v>
      </c>
      <c r="F8" s="184">
        <f>IS!F10</f>
        <v>9675</v>
      </c>
      <c r="G8" s="270">
        <f>IS!G10</f>
        <v>11375</v>
      </c>
      <c r="H8" s="225">
        <f>IS!H10</f>
        <v>13745</v>
      </c>
      <c r="I8" s="184">
        <f ca="1">IS!I10</f>
        <v>15700.149720992486</v>
      </c>
      <c r="J8" s="184">
        <f ca="1">IS!J10</f>
        <v>17365.400087815146</v>
      </c>
      <c r="K8" s="184">
        <f ca="1">IS!K10</f>
        <v>19149.032039278653</v>
      </c>
      <c r="L8" s="184">
        <f ca="1">IS!L10</f>
        <v>20957.408180531009</v>
      </c>
      <c r="M8" s="184">
        <f ca="1">IS!M10</f>
        <v>22858.078835326578</v>
      </c>
      <c r="N8" s="28"/>
      <c r="O8" s="155" t="s">
        <v>194</v>
      </c>
      <c r="P8" s="28"/>
      <c r="Q8" s="28"/>
      <c r="R8" s="245">
        <v>15</v>
      </c>
      <c r="S8" s="28"/>
      <c r="T8" s="155" t="s">
        <v>195</v>
      </c>
      <c r="U8" s="28"/>
      <c r="V8" s="28"/>
      <c r="W8" s="232">
        <v>2.5000000000000001E-2</v>
      </c>
    </row>
    <row r="9" spans="2:23" x14ac:dyDescent="0.2">
      <c r="B9" s="118" t="s">
        <v>212</v>
      </c>
      <c r="C9" s="184">
        <f>IS!C20</f>
        <v>5555</v>
      </c>
      <c r="D9" s="184">
        <f>IS!D20</f>
        <v>6708</v>
      </c>
      <c r="E9" s="184">
        <f>IS!E20</f>
        <v>6796</v>
      </c>
      <c r="F9" s="184">
        <f>IS!F20</f>
        <v>8490</v>
      </c>
      <c r="G9" s="270">
        <f>IS!G20</f>
        <v>9734</v>
      </c>
      <c r="H9" s="225">
        <f>IS!H20</f>
        <v>9936</v>
      </c>
      <c r="I9" s="184">
        <f ca="1">IS!I20</f>
        <v>10917.56709582953</v>
      </c>
      <c r="J9" s="184">
        <f ca="1">IS!J20</f>
        <v>11878.02534142178</v>
      </c>
      <c r="K9" s="184">
        <f ca="1">IS!K20</f>
        <v>12882.37584594175</v>
      </c>
      <c r="L9" s="184">
        <f ca="1">IS!L20</f>
        <v>13933.603659444669</v>
      </c>
      <c r="M9" s="184">
        <f ca="1">IS!M20</f>
        <v>15016.931095592612</v>
      </c>
      <c r="N9" s="28"/>
      <c r="O9" s="156" t="s">
        <v>189</v>
      </c>
      <c r="P9" s="157"/>
      <c r="Q9" s="157"/>
      <c r="R9" s="158">
        <f ca="1">R7*R8</f>
        <v>108149.37279143644</v>
      </c>
      <c r="S9" s="28"/>
      <c r="T9" s="156" t="s">
        <v>189</v>
      </c>
      <c r="U9" s="157"/>
      <c r="V9" s="157"/>
      <c r="W9" s="158">
        <f ca="1">(W7*(1+W8))/(C33-W8)</f>
        <v>79237.056932581836</v>
      </c>
    </row>
    <row r="10" spans="2:23" x14ac:dyDescent="0.2">
      <c r="B10" s="182" t="s">
        <v>10</v>
      </c>
      <c r="C10" s="185">
        <f>C6-SUM(C8:C9)</f>
        <v>2109</v>
      </c>
      <c r="D10" s="185">
        <f>D6-SUM(D8:D9)</f>
        <v>1888</v>
      </c>
      <c r="E10" s="185">
        <f>E6-SUM(E8:E9)</f>
        <v>2806</v>
      </c>
      <c r="F10" s="185">
        <f>F6-SUM(F8:F9)</f>
        <v>3289</v>
      </c>
      <c r="G10" s="271">
        <f t="shared" ref="G10:M10" si="2">G6-SUM(G8:G9)</f>
        <v>4262</v>
      </c>
      <c r="H10" s="186">
        <f t="shared" si="2"/>
        <v>3837</v>
      </c>
      <c r="I10" s="185">
        <f t="shared" ca="1" si="2"/>
        <v>4657.4818305733716</v>
      </c>
      <c r="J10" s="185">
        <f t="shared" ca="1" si="2"/>
        <v>5177.5856467098456</v>
      </c>
      <c r="K10" s="185">
        <f t="shared" ca="1" si="2"/>
        <v>5737.8860778538583</v>
      </c>
      <c r="L10" s="185">
        <f t="shared" ca="1" si="2"/>
        <v>6445.0989697501791</v>
      </c>
      <c r="M10" s="185">
        <f t="shared" ca="1" si="2"/>
        <v>7209.9581860957624</v>
      </c>
      <c r="N10" s="28"/>
      <c r="O10" s="159" t="s">
        <v>196</v>
      </c>
      <c r="P10" s="160"/>
      <c r="Q10" s="160"/>
      <c r="R10" s="161">
        <f ca="1">R9/(1+$C$32)^$M$24</f>
        <v>108149.37279143644</v>
      </c>
      <c r="S10" s="28"/>
      <c r="T10" s="162" t="s">
        <v>196</v>
      </c>
      <c r="U10" s="163"/>
      <c r="V10" s="163"/>
      <c r="W10" s="164">
        <f ca="1">W9/(1+$C$32)^$M$24</f>
        <v>79237.056932581836</v>
      </c>
    </row>
    <row r="11" spans="2:23" x14ac:dyDescent="0.2">
      <c r="B11" s="187" t="s">
        <v>64</v>
      </c>
      <c r="C11" s="349">
        <f>C10/C6</f>
        <v>0.16106613716205895</v>
      </c>
      <c r="D11" s="349">
        <f t="shared" ref="D11:M11" si="3">D10/D6</f>
        <v>0.1221927383340884</v>
      </c>
      <c r="E11" s="349">
        <f t="shared" si="3"/>
        <v>0.15788881386450596</v>
      </c>
      <c r="F11" s="349">
        <f t="shared" si="3"/>
        <v>0.15330474503589075</v>
      </c>
      <c r="G11" s="350">
        <f t="shared" si="3"/>
        <v>0.16798707185369122</v>
      </c>
      <c r="H11" s="351">
        <f t="shared" si="3"/>
        <v>0.13943600552365723</v>
      </c>
      <c r="I11" s="349">
        <f t="shared" ca="1" si="3"/>
        <v>0.14891933647114497</v>
      </c>
      <c r="J11" s="349">
        <f t="shared" ca="1" si="3"/>
        <v>0.15041933647114497</v>
      </c>
      <c r="K11" s="349">
        <f t="shared" ca="1" si="3"/>
        <v>0.15191933647114483</v>
      </c>
      <c r="L11" s="349">
        <f t="shared" ca="1" si="3"/>
        <v>0.15591933647114498</v>
      </c>
      <c r="M11" s="349">
        <f t="shared" ca="1" si="3"/>
        <v>0.15991933647114509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2:23" x14ac:dyDescent="0.2">
      <c r="B12" s="118" t="s">
        <v>213</v>
      </c>
      <c r="C12" s="184">
        <f>IS!C18</f>
        <v>805</v>
      </c>
      <c r="D12" s="184">
        <f>IS!D18</f>
        <v>776</v>
      </c>
      <c r="E12" s="184">
        <f>IS!E18</f>
        <v>912</v>
      </c>
      <c r="F12" s="184">
        <f>IS!F18</f>
        <v>1189</v>
      </c>
      <c r="G12" s="270">
        <f>IS!G18</f>
        <v>1265</v>
      </c>
      <c r="H12" s="225">
        <f>IS!H18</f>
        <v>1317</v>
      </c>
      <c r="I12" s="184">
        <f ca="1">IS!I18</f>
        <v>1496.8179598306463</v>
      </c>
      <c r="J12" s="184">
        <f ca="1">IS!J18</f>
        <v>1647.3752302864268</v>
      </c>
      <c r="K12" s="184">
        <f ca="1">IS!K18</f>
        <v>1807.6226524227343</v>
      </c>
      <c r="L12" s="184">
        <f ca="1">IS!L18</f>
        <v>1978.3290186935442</v>
      </c>
      <c r="M12" s="184">
        <f ca="1">IS!M18</f>
        <v>2157.7477654665558</v>
      </c>
      <c r="N12" s="28"/>
      <c r="O12" s="149" t="s">
        <v>197</v>
      </c>
      <c r="P12" s="150"/>
      <c r="Q12" s="150"/>
      <c r="R12" s="151"/>
      <c r="S12" s="28"/>
      <c r="T12" s="149" t="s">
        <v>197</v>
      </c>
      <c r="U12" s="150"/>
      <c r="V12" s="150"/>
      <c r="W12" s="151"/>
    </row>
    <row r="13" spans="2:23" x14ac:dyDescent="0.2">
      <c r="B13" s="182" t="s">
        <v>214</v>
      </c>
      <c r="C13" s="185">
        <f t="shared" ref="C13:M13" si="4">C10+C12</f>
        <v>2914</v>
      </c>
      <c r="D13" s="185">
        <f t="shared" si="4"/>
        <v>2664</v>
      </c>
      <c r="E13" s="185">
        <f t="shared" si="4"/>
        <v>3718</v>
      </c>
      <c r="F13" s="185">
        <f t="shared" si="4"/>
        <v>4478</v>
      </c>
      <c r="G13" s="271">
        <f t="shared" si="4"/>
        <v>5527</v>
      </c>
      <c r="H13" s="186">
        <f t="shared" si="4"/>
        <v>5154</v>
      </c>
      <c r="I13" s="185">
        <f ca="1">I10+I12</f>
        <v>6154.2997904040176</v>
      </c>
      <c r="J13" s="185">
        <f t="shared" ca="1" si="4"/>
        <v>6824.9608769962724</v>
      </c>
      <c r="K13" s="185">
        <f t="shared" ca="1" si="4"/>
        <v>7545.5087302765924</v>
      </c>
      <c r="L13" s="185">
        <f t="shared" ca="1" si="4"/>
        <v>8423.4279884437237</v>
      </c>
      <c r="M13" s="185">
        <f t="shared" ca="1" si="4"/>
        <v>9367.7059515623187</v>
      </c>
      <c r="N13" s="28"/>
      <c r="O13" s="334" t="s">
        <v>190</v>
      </c>
      <c r="P13" s="335"/>
      <c r="Q13" s="335"/>
      <c r="R13" s="336"/>
      <c r="S13" s="28"/>
      <c r="T13" s="334" t="s">
        <v>191</v>
      </c>
      <c r="U13" s="335"/>
      <c r="V13" s="335"/>
      <c r="W13" s="336"/>
    </row>
    <row r="14" spans="2:23" x14ac:dyDescent="0.2">
      <c r="B14" s="187" t="s">
        <v>64</v>
      </c>
      <c r="C14" s="352">
        <f>C13/C6</f>
        <v>0.22254467695127539</v>
      </c>
      <c r="D14" s="352">
        <f t="shared" ref="D14:M14" si="5">D13/D6</f>
        <v>0.17241602485276034</v>
      </c>
      <c r="E14" s="352">
        <f t="shared" si="5"/>
        <v>0.20920549178483008</v>
      </c>
      <c r="F14" s="352">
        <f t="shared" si="5"/>
        <v>0.2087256455672602</v>
      </c>
      <c r="G14" s="353">
        <f t="shared" si="5"/>
        <v>0.21784714831894683</v>
      </c>
      <c r="H14" s="354">
        <f t="shared" si="5"/>
        <v>0.18729558834217602</v>
      </c>
      <c r="I14" s="352">
        <f ca="1">I13/I6</f>
        <v>0.19677891928966373</v>
      </c>
      <c r="J14" s="352">
        <f t="shared" ca="1" si="5"/>
        <v>0.19827891928966376</v>
      </c>
      <c r="K14" s="352">
        <f t="shared" ca="1" si="5"/>
        <v>0.19977891928966363</v>
      </c>
      <c r="L14" s="352">
        <f t="shared" ca="1" si="5"/>
        <v>0.2037789192896638</v>
      </c>
      <c r="M14" s="352">
        <f t="shared" ca="1" si="5"/>
        <v>0.20777891928966388</v>
      </c>
      <c r="N14" s="28"/>
      <c r="O14" s="155" t="s">
        <v>198</v>
      </c>
      <c r="P14" s="28"/>
      <c r="Q14" s="28"/>
      <c r="R14" s="165">
        <f ca="1">SUM(I26:M26)</f>
        <v>29742.788583801674</v>
      </c>
      <c r="S14" s="28"/>
      <c r="T14" s="155" t="s">
        <v>198</v>
      </c>
      <c r="U14" s="28"/>
      <c r="V14" s="28"/>
      <c r="W14" s="165">
        <f ca="1">SUM(I26:M26)</f>
        <v>29742.788583801674</v>
      </c>
    </row>
    <row r="15" spans="2:23" x14ac:dyDescent="0.2">
      <c r="B15" s="118" t="s">
        <v>65</v>
      </c>
      <c r="C15" s="128">
        <v>405</v>
      </c>
      <c r="D15" s="128">
        <v>319</v>
      </c>
      <c r="E15" s="128">
        <v>539</v>
      </c>
      <c r="F15" s="128">
        <v>863</v>
      </c>
      <c r="G15" s="128">
        <v>-70</v>
      </c>
      <c r="H15" s="226">
        <f>IS!H30</f>
        <v>947</v>
      </c>
      <c r="I15" s="211">
        <f ca="1">IS!I30</f>
        <v>781.02090769442634</v>
      </c>
      <c r="J15" s="211">
        <f ca="1">IS!J30</f>
        <v>962.48010836979472</v>
      </c>
      <c r="K15" s="211">
        <f ca="1">IS!K30</f>
        <v>1066.9503314938149</v>
      </c>
      <c r="L15" s="211">
        <f ca="1">IS!L30</f>
        <v>1191.8772244691347</v>
      </c>
      <c r="M15" s="211">
        <f ca="1">IS!M30</f>
        <v>1333.240132325066</v>
      </c>
      <c r="N15" s="28"/>
      <c r="O15" s="155" t="s">
        <v>196</v>
      </c>
      <c r="P15" s="28"/>
      <c r="Q15" s="28"/>
      <c r="R15" s="165">
        <f ca="1">R10</f>
        <v>108149.37279143644</v>
      </c>
      <c r="S15" s="28"/>
      <c r="T15" s="155" t="s">
        <v>196</v>
      </c>
      <c r="U15" s="28"/>
      <c r="V15" s="28"/>
      <c r="W15" s="165">
        <f ca="1">W10</f>
        <v>79237.056932581836</v>
      </c>
    </row>
    <row r="16" spans="2:23" x14ac:dyDescent="0.2">
      <c r="B16" s="187" t="s">
        <v>84</v>
      </c>
      <c r="C16" s="355">
        <f>IS!C31</f>
        <v>0.18409090909090908</v>
      </c>
      <c r="D16" s="355">
        <f>IS!D31</f>
        <v>0.13425925925925927</v>
      </c>
      <c r="E16" s="355">
        <f>IS!E31</f>
        <v>0.17978652434956638</v>
      </c>
      <c r="F16" s="355">
        <f>IS!F31</f>
        <v>0.17038499506416585</v>
      </c>
      <c r="G16" s="355">
        <f>IS!G31</f>
        <v>-1.7077335935594046E-2</v>
      </c>
      <c r="H16" s="356">
        <f>IS!H31</f>
        <v>0.28134284016636957</v>
      </c>
      <c r="I16" s="357">
        <f ca="1">'Metrics &amp; Drivers'!I65</f>
        <v>0.18</v>
      </c>
      <c r="J16" s="357">
        <f ca="1">'Metrics &amp; Drivers'!J65</f>
        <v>0.18</v>
      </c>
      <c r="K16" s="357">
        <f ca="1">'Metrics &amp; Drivers'!K65</f>
        <v>0.18</v>
      </c>
      <c r="L16" s="357">
        <f ca="1">'Metrics &amp; Drivers'!L65</f>
        <v>0.18</v>
      </c>
      <c r="M16" s="357">
        <f ca="1">'Metrics &amp; Drivers'!M65</f>
        <v>0.18</v>
      </c>
      <c r="N16" s="28"/>
      <c r="O16" s="155" t="s">
        <v>199</v>
      </c>
      <c r="P16" s="28"/>
      <c r="Q16" s="28"/>
      <c r="R16" s="165">
        <f ca="1">SUM(R14:R15)</f>
        <v>137892.16137523812</v>
      </c>
      <c r="S16" s="28"/>
      <c r="T16" s="155" t="s">
        <v>199</v>
      </c>
      <c r="U16" s="28"/>
      <c r="V16" s="28"/>
      <c r="W16" s="165">
        <f ca="1">SUM(W14:W15)</f>
        <v>108979.8455163835</v>
      </c>
    </row>
    <row r="17" spans="1:23" x14ac:dyDescent="0.2">
      <c r="B17" s="182" t="s">
        <v>66</v>
      </c>
      <c r="C17" s="185">
        <f t="shared" ref="C17:M17" si="6">C13-C15</f>
        <v>2509</v>
      </c>
      <c r="D17" s="185">
        <f t="shared" si="6"/>
        <v>2345</v>
      </c>
      <c r="E17" s="185">
        <f t="shared" si="6"/>
        <v>3179</v>
      </c>
      <c r="F17" s="185">
        <f t="shared" si="6"/>
        <v>3615</v>
      </c>
      <c r="G17" s="271">
        <f t="shared" si="6"/>
        <v>5597</v>
      </c>
      <c r="H17" s="186">
        <f t="shared" si="6"/>
        <v>4207</v>
      </c>
      <c r="I17" s="185">
        <f ca="1">I13-I15</f>
        <v>5373.278882709591</v>
      </c>
      <c r="J17" s="185">
        <f t="shared" ca="1" si="6"/>
        <v>5862.4807686264776</v>
      </c>
      <c r="K17" s="185">
        <f t="shared" ca="1" si="6"/>
        <v>6478.5583987827777</v>
      </c>
      <c r="L17" s="185">
        <f t="shared" ca="1" si="6"/>
        <v>7231.5507639745892</v>
      </c>
      <c r="M17" s="185">
        <f t="shared" ca="1" si="6"/>
        <v>8034.4658192372526</v>
      </c>
      <c r="N17" s="28"/>
      <c r="O17" s="155" t="s">
        <v>200</v>
      </c>
      <c r="P17" s="28"/>
      <c r="Q17" s="28"/>
      <c r="R17" s="250">
        <f>BS!H27</f>
        <v>10417</v>
      </c>
      <c r="S17" s="28"/>
      <c r="T17" s="155" t="s">
        <v>200</v>
      </c>
      <c r="U17" s="28"/>
      <c r="V17" s="28"/>
      <c r="W17" s="250">
        <f>R17</f>
        <v>10417</v>
      </c>
    </row>
    <row r="18" spans="1:23" x14ac:dyDescent="0.2">
      <c r="B18" s="118" t="s">
        <v>215</v>
      </c>
      <c r="C18" s="184">
        <f>Cash!C19</f>
        <v>-667</v>
      </c>
      <c r="D18" s="184">
        <f>Cash!D19</f>
        <v>-823</v>
      </c>
      <c r="E18" s="184">
        <f>Cash!E19</f>
        <v>-704</v>
      </c>
      <c r="F18" s="184">
        <f>Cash!F19</f>
        <v>-866</v>
      </c>
      <c r="G18" s="270">
        <f>Cash!G19</f>
        <v>-908</v>
      </c>
      <c r="H18" s="225">
        <f>Cash!H19</f>
        <v>-706</v>
      </c>
      <c r="I18" s="211">
        <f ca="1">-I6*'Metrics &amp; Drivers'!I70</f>
        <v>-875.70556212707083</v>
      </c>
      <c r="J18" s="211">
        <f ca="1">-J6*'Metrics &amp; Drivers'!J70</f>
        <v>-929.36729905056279</v>
      </c>
      <c r="K18" s="211">
        <f ca="1">-K6*'Metrics &amp; Drivers'!K70</f>
        <v>-982.00164303993074</v>
      </c>
      <c r="L18" s="211">
        <f ca="1">-L6*'Metrics &amp; Drivers'!L70</f>
        <v>-1033.4027702431463</v>
      </c>
      <c r="M18" s="211">
        <f ca="1">-M6*'Metrics &amp; Drivers'!M70</f>
        <v>-1127.1242029253738</v>
      </c>
      <c r="N18" s="28"/>
      <c r="O18" s="155" t="s">
        <v>201</v>
      </c>
      <c r="P18" s="28"/>
      <c r="Q18" s="28"/>
      <c r="R18" s="250">
        <f>BS!I6</f>
        <v>7776</v>
      </c>
      <c r="S18" s="28"/>
      <c r="T18" s="155" t="s">
        <v>201</v>
      </c>
      <c r="U18" s="28"/>
      <c r="V18" s="28"/>
      <c r="W18" s="250">
        <f>R18</f>
        <v>7776</v>
      </c>
    </row>
    <row r="19" spans="1:23" x14ac:dyDescent="0.2">
      <c r="B19" s="118" t="s">
        <v>216</v>
      </c>
      <c r="C19" s="184">
        <f>C12</f>
        <v>805</v>
      </c>
      <c r="D19" s="184">
        <f t="shared" ref="D19:G19" si="7">D12</f>
        <v>776</v>
      </c>
      <c r="E19" s="184">
        <f t="shared" si="7"/>
        <v>912</v>
      </c>
      <c r="F19" s="184">
        <f t="shared" si="7"/>
        <v>1189</v>
      </c>
      <c r="G19" s="272">
        <f t="shared" si="7"/>
        <v>1265</v>
      </c>
      <c r="H19" s="226">
        <f>IS!H18</f>
        <v>1317</v>
      </c>
      <c r="I19" s="211">
        <f ca="1">IS!I18</f>
        <v>1496.8179598306463</v>
      </c>
      <c r="J19" s="211">
        <f ca="1">IS!J18</f>
        <v>1647.3752302864268</v>
      </c>
      <c r="K19" s="211">
        <f ca="1">IS!K18</f>
        <v>1807.6226524227343</v>
      </c>
      <c r="L19" s="211">
        <f ca="1">IS!L18</f>
        <v>1978.3290186935442</v>
      </c>
      <c r="M19" s="211">
        <f ca="1">IS!M18</f>
        <v>2157.7477654665558</v>
      </c>
      <c r="N19" s="28"/>
      <c r="O19" s="155" t="s">
        <v>202</v>
      </c>
      <c r="P19" s="28"/>
      <c r="Q19" s="28"/>
      <c r="R19" s="165">
        <f ca="1">R16-R17+R18</f>
        <v>135251.16137523812</v>
      </c>
      <c r="S19" s="28"/>
      <c r="T19" s="155" t="s">
        <v>202</v>
      </c>
      <c r="U19" s="28"/>
      <c r="V19" s="28"/>
      <c r="W19" s="165">
        <f ca="1">W16-W17+W18</f>
        <v>106338.8455163835</v>
      </c>
    </row>
    <row r="20" spans="1:23" x14ac:dyDescent="0.2">
      <c r="B20" s="118" t="s">
        <v>217</v>
      </c>
      <c r="C20" s="184">
        <f>NWC!C20</f>
        <v>0</v>
      </c>
      <c r="D20" s="184">
        <f>NWC!D20</f>
        <v>-6417</v>
      </c>
      <c r="E20" s="184">
        <f>NWC!E20</f>
        <v>2745</v>
      </c>
      <c r="F20" s="184">
        <f>NWC!F20</f>
        <v>3527</v>
      </c>
      <c r="G20" s="270">
        <f>NWC!G20</f>
        <v>-3406</v>
      </c>
      <c r="H20" s="226">
        <f>NWC!H20</f>
        <v>292</v>
      </c>
      <c r="I20" s="211">
        <f ca="1">NWC!I20</f>
        <v>1082.80830632773</v>
      </c>
      <c r="J20" s="211">
        <f ca="1">NWC!J20</f>
        <v>-2344.4835547291659</v>
      </c>
      <c r="K20" s="211">
        <f ca="1">NWC!K20</f>
        <v>-81.396399491604825</v>
      </c>
      <c r="L20" s="211">
        <f ca="1">NWC!L20</f>
        <v>-106.84272905992111</v>
      </c>
      <c r="M20" s="211">
        <f ca="1">NWC!M20</f>
        <v>-168.18804383359384</v>
      </c>
      <c r="N20" s="28"/>
      <c r="O20" s="156" t="s">
        <v>203</v>
      </c>
      <c r="P20" s="157"/>
      <c r="Q20" s="157"/>
      <c r="R20" s="246">
        <v>1154</v>
      </c>
      <c r="S20" s="247"/>
      <c r="T20" s="248" t="s">
        <v>203</v>
      </c>
      <c r="U20" s="249"/>
      <c r="V20" s="249"/>
      <c r="W20" s="246">
        <f>R20</f>
        <v>1154</v>
      </c>
    </row>
    <row r="21" spans="1:23" x14ac:dyDescent="0.2">
      <c r="B21" s="182" t="s">
        <v>218</v>
      </c>
      <c r="C21" s="188">
        <f>C17+C18+C19-C20</f>
        <v>2647</v>
      </c>
      <c r="D21" s="188">
        <f t="shared" ref="D21:M21" si="8">D17+D18+D19-D20</f>
        <v>8715</v>
      </c>
      <c r="E21" s="188">
        <f t="shared" si="8"/>
        <v>642</v>
      </c>
      <c r="F21" s="188">
        <f t="shared" si="8"/>
        <v>411</v>
      </c>
      <c r="G21" s="273">
        <f>G17+G18+G19-G20</f>
        <v>9360</v>
      </c>
      <c r="H21" s="189">
        <f t="shared" si="8"/>
        <v>4526</v>
      </c>
      <c r="I21" s="188">
        <f t="shared" ca="1" si="8"/>
        <v>4911.582974085436</v>
      </c>
      <c r="J21" s="188">
        <f t="shared" ca="1" si="8"/>
        <v>8924.9722545915065</v>
      </c>
      <c r="K21" s="188">
        <f t="shared" ca="1" si="8"/>
        <v>7385.5758076571856</v>
      </c>
      <c r="L21" s="188">
        <f t="shared" ca="1" si="8"/>
        <v>8283.3197414849092</v>
      </c>
      <c r="M21" s="188">
        <f t="shared" ca="1" si="8"/>
        <v>9233.2774256120283</v>
      </c>
      <c r="N21" s="28"/>
      <c r="O21" s="156" t="s">
        <v>204</v>
      </c>
      <c r="P21" s="157"/>
      <c r="Q21" s="157"/>
      <c r="R21" s="358">
        <f ca="1">R19/R20</f>
        <v>117.20204625237272</v>
      </c>
      <c r="S21" s="28"/>
      <c r="T21" s="156" t="s">
        <v>204</v>
      </c>
      <c r="U21" s="157"/>
      <c r="V21" s="157"/>
      <c r="W21" s="358">
        <f ca="1">W19/W20</f>
        <v>92.148046374682409</v>
      </c>
    </row>
    <row r="22" spans="1:23" x14ac:dyDescent="0.2">
      <c r="A22" s="241"/>
      <c r="B22" s="190" t="s">
        <v>219</v>
      </c>
      <c r="C22" s="191"/>
      <c r="D22" s="191"/>
      <c r="E22" s="191"/>
      <c r="F22" s="191"/>
      <c r="G22" s="274"/>
      <c r="H22" s="278"/>
      <c r="I22" s="331">
        <f ca="1">(1-YEARFRAC(C35,C34))*I21</f>
        <v>668.52101591718417</v>
      </c>
      <c r="J22" s="191"/>
      <c r="K22" s="191"/>
      <c r="L22" s="191"/>
      <c r="M22" s="191"/>
      <c r="N22" s="28"/>
      <c r="O22" s="28"/>
      <c r="P22" s="28"/>
      <c r="Q22" s="28"/>
      <c r="R22" s="92"/>
      <c r="S22" s="28"/>
      <c r="T22" s="28"/>
      <c r="U22" s="28"/>
      <c r="V22" s="28"/>
      <c r="W22" s="92"/>
    </row>
    <row r="23" spans="1:23" x14ac:dyDescent="0.2">
      <c r="A23" s="241"/>
      <c r="B23" s="182" t="s">
        <v>220</v>
      </c>
      <c r="C23" s="188">
        <f>C21</f>
        <v>2647</v>
      </c>
      <c r="D23" s="188">
        <f t="shared" ref="D23:G23" si="9">D21</f>
        <v>8715</v>
      </c>
      <c r="E23" s="188">
        <f t="shared" si="9"/>
        <v>642</v>
      </c>
      <c r="F23" s="188">
        <f t="shared" si="9"/>
        <v>411</v>
      </c>
      <c r="G23" s="273">
        <f t="shared" si="9"/>
        <v>9360</v>
      </c>
      <c r="H23" s="189">
        <f>H21+H22</f>
        <v>4526</v>
      </c>
      <c r="I23" s="188">
        <f ca="1">I21-I22</f>
        <v>4243.0619581682522</v>
      </c>
      <c r="J23" s="188">
        <f t="shared" ref="J23:M23" ca="1" si="10">J21+J22</f>
        <v>8924.9722545915065</v>
      </c>
      <c r="K23" s="188">
        <f t="shared" ca="1" si="10"/>
        <v>7385.5758076571856</v>
      </c>
      <c r="L23" s="188">
        <f t="shared" ca="1" si="10"/>
        <v>8283.3197414849092</v>
      </c>
      <c r="M23" s="188">
        <f t="shared" ca="1" si="10"/>
        <v>9233.2774256120283</v>
      </c>
      <c r="N23" s="28"/>
      <c r="O23" s="28"/>
      <c r="P23" s="28"/>
      <c r="Q23" s="28"/>
      <c r="R23" s="92"/>
      <c r="S23" s="28"/>
      <c r="T23" s="28"/>
      <c r="U23" s="28"/>
      <c r="V23" s="28"/>
      <c r="W23" s="92"/>
    </row>
    <row r="24" spans="1:23" x14ac:dyDescent="0.2">
      <c r="A24" s="241"/>
      <c r="B24" s="187" t="s">
        <v>221</v>
      </c>
      <c r="C24" s="192"/>
      <c r="D24" s="193">
        <f t="shared" ref="D24:M24" si="11">(D21/C21)-1</f>
        <v>2.2924064979221761</v>
      </c>
      <c r="E24" s="193">
        <f>(E21/D21)-1</f>
        <v>-0.92633390705679863</v>
      </c>
      <c r="F24" s="194">
        <f>(E21-F21)/E21</f>
        <v>0.35981308411214952</v>
      </c>
      <c r="G24" s="275">
        <f>(G21/F21)-1</f>
        <v>21.773722627737225</v>
      </c>
      <c r="H24" s="195">
        <f t="shared" si="11"/>
        <v>-0.51645299145299139</v>
      </c>
      <c r="I24" s="193">
        <f ca="1">(I21/H21)-1</f>
        <v>8.5192879824444567E-2</v>
      </c>
      <c r="J24" s="193">
        <f t="shared" ca="1" si="11"/>
        <v>0.81712745191958924</v>
      </c>
      <c r="K24" s="193">
        <f t="shared" ca="1" si="11"/>
        <v>-0.17248193081411189</v>
      </c>
      <c r="L24" s="193">
        <f t="shared" ca="1" si="11"/>
        <v>0.1215536820970633</v>
      </c>
      <c r="M24" s="193">
        <f t="shared" ca="1" si="11"/>
        <v>0.1146832083964473</v>
      </c>
      <c r="N24" s="28"/>
      <c r="O24" s="28"/>
      <c r="Q24" s="28"/>
      <c r="R24" s="28"/>
      <c r="S24" s="28"/>
      <c r="T24" s="28"/>
      <c r="U24" s="28"/>
      <c r="V24" s="28"/>
      <c r="W24" s="28"/>
    </row>
    <row r="25" spans="1:23" x14ac:dyDescent="0.2">
      <c r="B25" s="118" t="s">
        <v>222</v>
      </c>
      <c r="C25" s="192"/>
      <c r="D25" s="118"/>
      <c r="E25" s="118"/>
      <c r="F25" s="118"/>
      <c r="G25" s="118"/>
      <c r="H25" s="279">
        <v>0</v>
      </c>
      <c r="I25" s="119">
        <f>(YEARFRAC(C35,C34))-0.5</f>
        <v>0.36388888888888893</v>
      </c>
      <c r="J25" s="119">
        <f>1+I25</f>
        <v>1.3638888888888889</v>
      </c>
      <c r="K25" s="119">
        <f t="shared" ref="K25:M25" si="12">1+J25</f>
        <v>2.3638888888888889</v>
      </c>
      <c r="L25" s="119">
        <f t="shared" si="12"/>
        <v>3.3638888888888889</v>
      </c>
      <c r="M25" s="119">
        <f t="shared" si="12"/>
        <v>4.3638888888888889</v>
      </c>
      <c r="N25" s="88"/>
      <c r="O25" s="28"/>
      <c r="P25" s="28"/>
      <c r="Q25" s="166" t="s">
        <v>205</v>
      </c>
      <c r="R25" s="167"/>
      <c r="S25" s="168"/>
      <c r="T25" s="168"/>
      <c r="U25" s="169"/>
      <c r="V25" s="28"/>
      <c r="W25" s="28"/>
    </row>
    <row r="26" spans="1:23" x14ac:dyDescent="0.2">
      <c r="B26" s="133" t="s">
        <v>223</v>
      </c>
      <c r="C26" s="197"/>
      <c r="D26" s="198"/>
      <c r="E26" s="198"/>
      <c r="F26" s="198"/>
      <c r="G26" s="198"/>
      <c r="H26" s="280">
        <f>H23/((1+$C$33)^(H25))</f>
        <v>4526</v>
      </c>
      <c r="I26" s="199">
        <f ca="1">I23/((1+$C$33)^(I25))</f>
        <v>4094.5023351173227</v>
      </c>
      <c r="J26" s="199">
        <f t="shared" ref="J26:M26" ca="1" si="13">J23/((1+$C$33)^(J25))</f>
        <v>7808.955977149406</v>
      </c>
      <c r="K26" s="199">
        <f t="shared" ca="1" si="13"/>
        <v>5859.1526134836686</v>
      </c>
      <c r="L26" s="199">
        <f ca="1">L23/((1+$C$33)^(L25))</f>
        <v>5958.2569181309154</v>
      </c>
      <c r="M26" s="199">
        <f t="shared" ca="1" si="13"/>
        <v>6021.9207399203606</v>
      </c>
      <c r="N26" s="28"/>
      <c r="O26" s="28"/>
      <c r="P26" s="28"/>
      <c r="Q26" s="170" t="s">
        <v>191</v>
      </c>
      <c r="R26" s="171"/>
      <c r="S26" s="28"/>
      <c r="T26" s="28"/>
      <c r="U26" s="172">
        <f ca="1">W21</f>
        <v>92.148046374682409</v>
      </c>
      <c r="V26" s="28"/>
      <c r="W26" s="28"/>
    </row>
    <row r="27" spans="1:23" x14ac:dyDescent="0.2">
      <c r="B27" s="118"/>
      <c r="C27" s="192"/>
      <c r="D27" s="118"/>
      <c r="E27" s="118"/>
      <c r="F27" s="118"/>
      <c r="G27" s="118"/>
      <c r="H27" s="196"/>
      <c r="I27" s="118"/>
      <c r="J27" s="118"/>
      <c r="K27" s="118"/>
      <c r="L27" s="118"/>
      <c r="M27" s="118"/>
      <c r="N27" s="28"/>
      <c r="O27" s="28"/>
      <c r="P27" s="28"/>
      <c r="Q27" s="170" t="s">
        <v>190</v>
      </c>
      <c r="R27" s="89"/>
      <c r="S27" s="28"/>
      <c r="T27" s="28"/>
      <c r="U27" s="172">
        <f ca="1">R21</f>
        <v>117.20204625237272</v>
      </c>
      <c r="V27" s="28"/>
      <c r="W27" s="28"/>
    </row>
    <row r="28" spans="1:23" x14ac:dyDescent="0.2">
      <c r="B28" s="200" t="s">
        <v>224</v>
      </c>
      <c r="C28" s="201"/>
      <c r="D28" s="202"/>
      <c r="E28" s="202"/>
      <c r="F28" s="202"/>
      <c r="G28" s="118"/>
      <c r="H28" s="203"/>
      <c r="I28" s="202"/>
      <c r="J28" s="202"/>
      <c r="K28" s="202"/>
      <c r="L28" s="202"/>
      <c r="M28" s="202"/>
      <c r="N28" s="28"/>
      <c r="O28" s="28"/>
      <c r="P28" s="28"/>
      <c r="Q28" s="173" t="s">
        <v>206</v>
      </c>
      <c r="R28" s="90"/>
      <c r="S28" s="174"/>
      <c r="T28" s="174"/>
      <c r="U28" s="175">
        <f ca="1">U26*0.5+U27*0.5</f>
        <v>104.67504631352756</v>
      </c>
      <c r="V28" s="28"/>
      <c r="W28" s="28"/>
    </row>
    <row r="29" spans="1:23" x14ac:dyDescent="0.2">
      <c r="B29" s="118" t="s">
        <v>2</v>
      </c>
      <c r="C29" s="204">
        <f>C6</f>
        <v>13094</v>
      </c>
      <c r="D29" s="204">
        <f t="shared" ref="D29:M29" si="14">D6</f>
        <v>15451</v>
      </c>
      <c r="E29" s="204">
        <f t="shared" si="14"/>
        <v>17772</v>
      </c>
      <c r="F29" s="204">
        <f t="shared" si="14"/>
        <v>21454</v>
      </c>
      <c r="G29" s="281">
        <f t="shared" si="14"/>
        <v>25371</v>
      </c>
      <c r="H29" s="268">
        <f t="shared" si="14"/>
        <v>27518</v>
      </c>
      <c r="I29" s="204">
        <f t="shared" ca="1" si="14"/>
        <v>31275.198647395388</v>
      </c>
      <c r="J29" s="204">
        <f t="shared" ca="1" si="14"/>
        <v>34421.011075946772</v>
      </c>
      <c r="K29" s="204">
        <f t="shared" ca="1" si="14"/>
        <v>37769.293963074262</v>
      </c>
      <c r="L29" s="204">
        <f t="shared" ca="1" si="14"/>
        <v>41336.110809725855</v>
      </c>
      <c r="M29" s="204">
        <f t="shared" ca="1" si="14"/>
        <v>45084.968117014949</v>
      </c>
      <c r="N29" s="28"/>
      <c r="O29" s="28"/>
      <c r="P29" s="28"/>
      <c r="Q29" s="176"/>
      <c r="R29" s="87"/>
      <c r="S29" s="28"/>
      <c r="T29" s="28"/>
      <c r="U29" s="28"/>
      <c r="V29" s="28"/>
      <c r="W29" s="28"/>
    </row>
    <row r="30" spans="1:23" x14ac:dyDescent="0.2">
      <c r="B30" s="118" t="s">
        <v>225</v>
      </c>
      <c r="C30" s="118"/>
      <c r="D30" s="205">
        <f t="shared" ref="D30:M30" si="15">D20/D29</f>
        <v>-0.41531292472979098</v>
      </c>
      <c r="E30" s="205">
        <f t="shared" si="15"/>
        <v>0.15445644834571234</v>
      </c>
      <c r="F30" s="205">
        <f t="shared" si="15"/>
        <v>0.16439824741306983</v>
      </c>
      <c r="G30" s="276">
        <f t="shared" si="15"/>
        <v>-0.13424776319419809</v>
      </c>
      <c r="H30" s="206">
        <f t="shared" si="15"/>
        <v>1.0611236281706519E-2</v>
      </c>
      <c r="I30" s="205">
        <f t="shared" ca="1" si="15"/>
        <v>3.4621948162043302E-2</v>
      </c>
      <c r="J30" s="205">
        <f t="shared" ca="1" si="15"/>
        <v>-6.8111989783108937E-2</v>
      </c>
      <c r="K30" s="205">
        <f t="shared" ca="1" si="15"/>
        <v>-2.1550945477345506E-3</v>
      </c>
      <c r="L30" s="205">
        <f t="shared" ca="1" si="15"/>
        <v>-2.5847310491238181E-3</v>
      </c>
      <c r="M30" s="205">
        <f t="shared" ca="1" si="15"/>
        <v>-3.7304682881680938E-3</v>
      </c>
      <c r="N30" s="28"/>
      <c r="O30" s="28"/>
      <c r="P30" s="28"/>
      <c r="Q30" s="166" t="s">
        <v>207</v>
      </c>
      <c r="R30" s="167"/>
      <c r="S30" s="168"/>
      <c r="T30" s="168"/>
      <c r="U30" s="169"/>
      <c r="V30" s="28"/>
      <c r="W30" s="28"/>
    </row>
    <row r="31" spans="1:23" x14ac:dyDescent="0.2"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28"/>
      <c r="O31" s="28"/>
      <c r="P31" s="28"/>
      <c r="Q31" s="170" t="s">
        <v>205</v>
      </c>
      <c r="R31" s="171"/>
      <c r="S31" s="28"/>
      <c r="T31" s="28"/>
      <c r="U31" s="172">
        <f ca="1">U28</f>
        <v>104.67504631352756</v>
      </c>
      <c r="V31" s="28"/>
      <c r="W31" s="28"/>
    </row>
    <row r="32" spans="1:23" x14ac:dyDescent="0.2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28"/>
      <c r="O32" s="28"/>
      <c r="P32" s="28"/>
      <c r="Q32" s="170" t="s">
        <v>208</v>
      </c>
      <c r="R32" s="89"/>
      <c r="S32" s="28"/>
      <c r="T32" s="28"/>
      <c r="U32" s="172">
        <v>74.66</v>
      </c>
      <c r="V32" s="28"/>
      <c r="W32" s="28"/>
    </row>
    <row r="33" spans="2:23" x14ac:dyDescent="0.2">
      <c r="B33" s="308" t="s">
        <v>67</v>
      </c>
      <c r="C33" s="307">
        <f>WACC!C13</f>
        <v>0.10289876349988819</v>
      </c>
      <c r="D33" s="118"/>
      <c r="E33" s="118"/>
      <c r="F33" s="118"/>
      <c r="G33" s="118"/>
      <c r="H33" s="207"/>
      <c r="I33" s="207"/>
      <c r="J33" s="207"/>
      <c r="K33" s="207"/>
      <c r="L33" s="207"/>
      <c r="M33" s="207"/>
      <c r="N33" s="28"/>
      <c r="O33" s="28"/>
      <c r="P33" s="28"/>
      <c r="Q33" s="173" t="s">
        <v>209</v>
      </c>
      <c r="R33" s="90"/>
      <c r="S33" s="174"/>
      <c r="T33" s="174"/>
      <c r="U33" s="91">
        <f ca="1">U31/U32-1</f>
        <v>0.40202312233495263</v>
      </c>
      <c r="V33" s="28"/>
      <c r="W33" s="28"/>
    </row>
    <row r="34" spans="2:23" x14ac:dyDescent="0.2">
      <c r="C34" s="210">
        <f>DATE(2023,12,31)</f>
        <v>45291</v>
      </c>
    </row>
    <row r="35" spans="2:23" x14ac:dyDescent="0.2">
      <c r="C35" s="330">
        <v>44977</v>
      </c>
    </row>
  </sheetData>
  <mergeCells count="4">
    <mergeCell ref="O13:R13"/>
    <mergeCell ref="T13:W13"/>
    <mergeCell ref="O6:R6"/>
    <mergeCell ref="T6:W6"/>
  </mergeCells>
  <pageMargins left="0.7" right="0.7" top="0.75" bottom="0.75" header="0.3" footer="0.3"/>
  <pageSetup orientation="portrait" verticalDpi="0" r:id="rId1"/>
  <ignoredErrors>
    <ignoredError sqref="I23 W19 F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1BC51-0A52-4423-907C-BA010C4AFE78}">
  <dimension ref="B3:L27"/>
  <sheetViews>
    <sheetView showGridLines="0" zoomScale="131" workbookViewId="0">
      <selection activeCell="E5" sqref="E5"/>
    </sheetView>
  </sheetViews>
  <sheetFormatPr baseColWidth="10" defaultColWidth="8.83203125" defaultRowHeight="16" x14ac:dyDescent="0.2"/>
  <cols>
    <col min="2" max="2" width="16.33203125" customWidth="1"/>
    <col min="3" max="3" width="10.6640625" customWidth="1"/>
    <col min="5" max="5" width="11.6640625" customWidth="1"/>
  </cols>
  <sheetData>
    <row r="3" spans="2:12" x14ac:dyDescent="0.2">
      <c r="B3" s="255" t="s">
        <v>74</v>
      </c>
      <c r="C3" s="256"/>
      <c r="D3" s="28"/>
      <c r="E3" s="28"/>
      <c r="F3" s="28"/>
      <c r="G3" s="255" t="s">
        <v>75</v>
      </c>
      <c r="H3" s="259"/>
      <c r="I3" s="256"/>
      <c r="J3" s="28"/>
      <c r="K3" s="28"/>
      <c r="L3" s="28"/>
    </row>
    <row r="4" spans="2:12" x14ac:dyDescent="0.2">
      <c r="B4" s="29" t="s">
        <v>76</v>
      </c>
      <c r="C4" s="30">
        <v>3.7499999999999999E-2</v>
      </c>
      <c r="D4" s="28"/>
      <c r="E4" s="28"/>
      <c r="F4" s="28"/>
      <c r="G4" s="29" t="s">
        <v>111</v>
      </c>
      <c r="H4" s="31"/>
      <c r="I4" s="32">
        <f>I24</f>
        <v>0.12246501614639398</v>
      </c>
      <c r="J4" s="28"/>
      <c r="K4" s="28"/>
      <c r="L4" s="28"/>
    </row>
    <row r="5" spans="2:12" x14ac:dyDescent="0.2">
      <c r="B5" s="33" t="s">
        <v>77</v>
      </c>
      <c r="C5" s="240">
        <v>5.8000000000000003E-2</v>
      </c>
      <c r="D5" s="28"/>
      <c r="E5" s="28"/>
      <c r="F5" s="28"/>
      <c r="G5" s="34" t="s">
        <v>78</v>
      </c>
      <c r="H5" s="35"/>
      <c r="I5" s="36">
        <f>G24/(G24+H24)</f>
        <v>0.10910363742723707</v>
      </c>
      <c r="J5" s="28"/>
      <c r="K5" s="28"/>
      <c r="L5" s="28"/>
    </row>
    <row r="6" spans="2:12" x14ac:dyDescent="0.2">
      <c r="B6" s="33" t="s">
        <v>79</v>
      </c>
      <c r="C6" s="37">
        <f>L25*(1+(1-C11)*I4)</f>
        <v>1.2202556255294608</v>
      </c>
      <c r="D6" s="38"/>
      <c r="E6" s="28"/>
      <c r="F6" s="28"/>
      <c r="G6" s="39" t="s">
        <v>80</v>
      </c>
      <c r="H6" s="40"/>
      <c r="I6" s="41">
        <f>H24/(G24+H24)</f>
        <v>0.89089636257276295</v>
      </c>
      <c r="J6" s="28"/>
      <c r="K6" s="28"/>
      <c r="L6" s="28"/>
    </row>
    <row r="7" spans="2:12" x14ac:dyDescent="0.2">
      <c r="B7" s="42" t="s">
        <v>81</v>
      </c>
      <c r="C7" s="43">
        <f>C4+C5*C6</f>
        <v>0.10827482628070872</v>
      </c>
      <c r="D7" s="28"/>
      <c r="E7" s="28"/>
      <c r="F7" s="28"/>
      <c r="G7" s="28"/>
      <c r="H7" s="28"/>
      <c r="I7" s="28"/>
      <c r="J7" s="28"/>
      <c r="K7" s="28"/>
      <c r="L7" s="28"/>
    </row>
    <row r="8" spans="2:12" x14ac:dyDescent="0.2">
      <c r="B8" s="44"/>
      <c r="C8" s="45"/>
      <c r="D8" s="28"/>
      <c r="E8" s="28"/>
      <c r="F8" s="28"/>
      <c r="G8" s="28"/>
      <c r="H8" s="28"/>
      <c r="I8" s="28"/>
      <c r="J8" s="28"/>
      <c r="K8" s="28"/>
      <c r="L8" s="28"/>
    </row>
    <row r="9" spans="2:12" x14ac:dyDescent="0.2">
      <c r="B9" s="257" t="s">
        <v>82</v>
      </c>
      <c r="C9" s="258"/>
      <c r="D9" s="28"/>
      <c r="E9" s="28"/>
      <c r="F9" s="28"/>
      <c r="G9" s="44"/>
      <c r="H9" s="28"/>
      <c r="I9" s="28"/>
      <c r="J9" s="28"/>
      <c r="K9" s="28"/>
      <c r="L9" s="28"/>
    </row>
    <row r="10" spans="2:12" x14ac:dyDescent="0.2">
      <c r="B10" s="33" t="s">
        <v>83</v>
      </c>
      <c r="C10" s="238">
        <v>5.8999999999999997E-2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2:12" x14ac:dyDescent="0.2">
      <c r="B11" s="33" t="s">
        <v>84</v>
      </c>
      <c r="C11" s="239">
        <f>K24</f>
        <v>0.18</v>
      </c>
      <c r="D11" s="28"/>
      <c r="E11" s="28"/>
      <c r="F11" s="28"/>
      <c r="G11" s="28"/>
      <c r="H11" s="28"/>
      <c r="I11" s="28"/>
      <c r="J11" s="28"/>
      <c r="K11" s="28"/>
      <c r="L11" s="28"/>
    </row>
    <row r="12" spans="2:12" x14ac:dyDescent="0.2">
      <c r="B12" s="46"/>
      <c r="C12" s="47"/>
      <c r="D12" s="28"/>
      <c r="E12" s="28"/>
      <c r="F12" s="28"/>
      <c r="G12" s="28"/>
      <c r="H12" s="28"/>
      <c r="J12" s="28"/>
      <c r="K12" s="28"/>
      <c r="L12" s="28"/>
    </row>
    <row r="13" spans="2:12" x14ac:dyDescent="0.2">
      <c r="B13" s="48" t="s">
        <v>67</v>
      </c>
      <c r="C13" s="49">
        <f>C7*I6+C10*I5</f>
        <v>0.10289876349988819</v>
      </c>
      <c r="D13" s="28"/>
      <c r="E13" s="28"/>
      <c r="F13" s="28"/>
      <c r="G13" s="28"/>
      <c r="H13" s="28"/>
      <c r="I13" s="28"/>
      <c r="J13" s="28"/>
      <c r="K13" s="28"/>
      <c r="L13" s="28"/>
    </row>
    <row r="14" spans="2:12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2:12" x14ac:dyDescent="0.2">
      <c r="B15" s="260" t="s">
        <v>85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x14ac:dyDescent="0.2">
      <c r="B16" s="50"/>
      <c r="C16" s="51"/>
      <c r="D16" s="52"/>
      <c r="E16" s="52"/>
      <c r="F16" s="53" t="s">
        <v>86</v>
      </c>
      <c r="G16" s="51"/>
      <c r="H16" s="51"/>
      <c r="I16" s="337" t="s">
        <v>87</v>
      </c>
      <c r="J16" s="337"/>
      <c r="K16" s="52"/>
      <c r="L16" s="53" t="s">
        <v>88</v>
      </c>
    </row>
    <row r="17" spans="2:12" x14ac:dyDescent="0.2">
      <c r="B17" s="54" t="s">
        <v>89</v>
      </c>
      <c r="C17" s="55"/>
      <c r="D17" s="55"/>
      <c r="E17" s="54" t="s">
        <v>90</v>
      </c>
      <c r="F17" s="56" t="s">
        <v>108</v>
      </c>
      <c r="G17" s="56" t="s">
        <v>92</v>
      </c>
      <c r="H17" s="56" t="s">
        <v>93</v>
      </c>
      <c r="I17" s="56" t="s">
        <v>94</v>
      </c>
      <c r="J17" s="53" t="s">
        <v>95</v>
      </c>
      <c r="K17" s="56" t="s">
        <v>96</v>
      </c>
      <c r="L17" s="56" t="s">
        <v>91</v>
      </c>
    </row>
    <row r="18" spans="2:12" x14ac:dyDescent="0.2">
      <c r="B18" s="57" t="s">
        <v>101</v>
      </c>
      <c r="C18" s="57"/>
      <c r="D18" s="57"/>
      <c r="E18" s="57" t="s">
        <v>104</v>
      </c>
      <c r="F18" s="58">
        <v>0.86</v>
      </c>
      <c r="G18" s="59">
        <v>21375</v>
      </c>
      <c r="H18" s="59">
        <v>67744.800000000003</v>
      </c>
      <c r="I18" s="60">
        <f t="shared" ref="I18:I22" si="0">G18/H18</f>
        <v>0.31552237219683282</v>
      </c>
      <c r="J18" s="61">
        <f t="shared" ref="J18:J22" si="1">G18/(G18+H18)</f>
        <v>0.23984569085657731</v>
      </c>
      <c r="K18" s="61">
        <v>0.20549999999999999</v>
      </c>
      <c r="L18" s="62">
        <f>F18/(1+(1-K18)*I18)</f>
        <v>0.68762454340612722</v>
      </c>
    </row>
    <row r="19" spans="2:12" x14ac:dyDescent="0.2">
      <c r="B19" s="57" t="s">
        <v>100</v>
      </c>
      <c r="C19" s="57"/>
      <c r="D19" s="57"/>
      <c r="E19" s="57" t="s">
        <v>105</v>
      </c>
      <c r="F19" s="58">
        <v>2.33</v>
      </c>
      <c r="G19" s="59">
        <v>5518</v>
      </c>
      <c r="H19" s="59">
        <v>49036</v>
      </c>
      <c r="I19" s="63">
        <f t="shared" si="0"/>
        <v>0.11252957011175463</v>
      </c>
      <c r="J19" s="64">
        <f t="shared" si="1"/>
        <v>0.10114748689371998</v>
      </c>
      <c r="K19" s="64">
        <v>0</v>
      </c>
      <c r="L19" s="65">
        <f t="shared" ref="L19:L20" si="2">F19/(1+(1-K19)*I19)</f>
        <v>2.0943263555376328</v>
      </c>
    </row>
    <row r="20" spans="2:12" x14ac:dyDescent="0.2">
      <c r="B20" s="57" t="s">
        <v>102</v>
      </c>
      <c r="C20" s="57"/>
      <c r="D20" s="57"/>
      <c r="E20" s="57" t="s">
        <v>106</v>
      </c>
      <c r="F20" s="58">
        <v>1</v>
      </c>
      <c r="G20" s="59">
        <v>13888.6</v>
      </c>
      <c r="H20" s="59">
        <v>30479.599999999999</v>
      </c>
      <c r="I20" s="63">
        <f t="shared" si="0"/>
        <v>0.45566870956311767</v>
      </c>
      <c r="J20" s="64">
        <f t="shared" si="1"/>
        <v>0.31303050382931924</v>
      </c>
      <c r="K20" s="64">
        <v>0.14610000000000001</v>
      </c>
      <c r="L20" s="65">
        <f t="shared" si="2"/>
        <v>0.71989290298046971</v>
      </c>
    </row>
    <row r="21" spans="2:12" x14ac:dyDescent="0.2">
      <c r="B21" s="57" t="s">
        <v>103</v>
      </c>
      <c r="C21" s="57"/>
      <c r="D21" s="57"/>
      <c r="E21" s="57" t="s">
        <v>107</v>
      </c>
      <c r="F21" s="58">
        <v>1.21</v>
      </c>
      <c r="G21" s="59">
        <v>7221.2</v>
      </c>
      <c r="H21" s="59">
        <v>15400.2</v>
      </c>
      <c r="I21" s="63">
        <f t="shared" si="0"/>
        <v>0.46890300125972384</v>
      </c>
      <c r="J21" s="64">
        <f t="shared" si="1"/>
        <v>0.31921985376678719</v>
      </c>
      <c r="K21" s="64">
        <v>0.2429</v>
      </c>
      <c r="L21" s="65">
        <f>F21/(1+(1-K21)*I21)</f>
        <v>0.89298467107488722</v>
      </c>
    </row>
    <row r="22" spans="2:12" x14ac:dyDescent="0.2">
      <c r="B22" s="57" t="s">
        <v>254</v>
      </c>
      <c r="C22" s="57"/>
      <c r="D22" s="57"/>
      <c r="E22" s="234" t="s">
        <v>253</v>
      </c>
      <c r="F22" s="235">
        <v>1.1499999999999999</v>
      </c>
      <c r="G22" s="236">
        <v>18</v>
      </c>
      <c r="H22" s="236">
        <v>48405</v>
      </c>
      <c r="I22" s="237">
        <f t="shared" si="0"/>
        <v>3.7186241090796405E-4</v>
      </c>
      <c r="J22" s="233">
        <f t="shared" si="1"/>
        <v>3.7172418065795179E-4</v>
      </c>
      <c r="K22" s="233">
        <v>0.215</v>
      </c>
      <c r="L22" s="65">
        <f>F22/(1+(1-K22)*I22)</f>
        <v>1.1496643991744584</v>
      </c>
    </row>
    <row r="23" spans="2:12" x14ac:dyDescent="0.2">
      <c r="B23" s="57"/>
      <c r="C23" s="57"/>
      <c r="D23" s="57"/>
      <c r="E23" s="57"/>
      <c r="F23" s="58"/>
      <c r="G23" s="59"/>
      <c r="H23" s="59"/>
      <c r="I23" s="64"/>
      <c r="J23" s="64"/>
      <c r="K23" s="64"/>
      <c r="L23" s="65"/>
    </row>
    <row r="24" spans="2:12" x14ac:dyDescent="0.2">
      <c r="B24" s="57" t="s">
        <v>109</v>
      </c>
      <c r="C24" s="57"/>
      <c r="D24" s="57"/>
      <c r="E24" s="57" t="s">
        <v>110</v>
      </c>
      <c r="F24" s="58">
        <v>1.3</v>
      </c>
      <c r="G24" s="59">
        <v>11377</v>
      </c>
      <c r="H24" s="59">
        <v>92900</v>
      </c>
      <c r="I24" s="63">
        <f>G24/H24</f>
        <v>0.12246501614639398</v>
      </c>
      <c r="J24" s="64">
        <f>G24/(G24+H24)</f>
        <v>0.10910363742723707</v>
      </c>
      <c r="K24" s="233">
        <v>0.18</v>
      </c>
      <c r="L24" s="65">
        <f>F24/(1+(1-K24)*I24)</f>
        <v>1.1813657045339518</v>
      </c>
    </row>
    <row r="25" spans="2:12" x14ac:dyDescent="0.2">
      <c r="B25" s="66" t="s">
        <v>97</v>
      </c>
      <c r="C25" s="67"/>
      <c r="D25" s="68"/>
      <c r="E25" s="67"/>
      <c r="F25" s="69">
        <f>AVERAGE(F18:F22)</f>
        <v>1.3099999999999998</v>
      </c>
      <c r="G25" s="70">
        <f>AVERAGE(G18:G22)</f>
        <v>9604.16</v>
      </c>
      <c r="H25" s="70">
        <f t="shared" ref="H25:J25" si="3">AVERAGE(H18:H22)</f>
        <v>42213.120000000003</v>
      </c>
      <c r="I25" s="71">
        <f t="shared" si="3"/>
        <v>0.27059910310846735</v>
      </c>
      <c r="J25" s="72">
        <f t="shared" si="3"/>
        <v>0.19472305190541234</v>
      </c>
      <c r="K25" s="72">
        <f>AVERAGEIF(K18:K22,"&gt;0")</f>
        <v>0.202375</v>
      </c>
      <c r="L25" s="69">
        <f>AVERAGE(L18:L22)</f>
        <v>1.1088985744347151</v>
      </c>
    </row>
    <row r="26" spans="2:12" x14ac:dyDescent="0.2">
      <c r="B26" s="73" t="s">
        <v>98</v>
      </c>
      <c r="C26" s="74"/>
      <c r="D26" s="75"/>
      <c r="E26" s="74"/>
      <c r="F26" s="76">
        <f t="shared" ref="F26:K26" si="4">MEDIAN(F18:F22)</f>
        <v>1.1499999999999999</v>
      </c>
      <c r="G26" s="77">
        <f t="shared" si="4"/>
        <v>7221.2</v>
      </c>
      <c r="H26" s="77">
        <f t="shared" si="4"/>
        <v>48405</v>
      </c>
      <c r="I26" s="78">
        <f t="shared" si="4"/>
        <v>0.31552237219683282</v>
      </c>
      <c r="J26" s="79">
        <f t="shared" si="4"/>
        <v>0.23984569085657731</v>
      </c>
      <c r="K26" s="79">
        <f t="shared" si="4"/>
        <v>0.20549999999999999</v>
      </c>
      <c r="L26" s="76">
        <f>MEDIAN(L18:L22)</f>
        <v>0.89298467107488722</v>
      </c>
    </row>
    <row r="27" spans="2:12" x14ac:dyDescent="0.2">
      <c r="B27" s="57" t="s">
        <v>99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</row>
  </sheetData>
  <mergeCells count="1">
    <mergeCell ref="I16:J16"/>
  </mergeCells>
  <pageMargins left="0.7" right="0.7" top="0.75" bottom="0.75" header="0.3" footer="0.3"/>
  <pageSetup orientation="portrait" verticalDpi="0" r:id="rId1"/>
  <ignoredErrors>
    <ignoredError sqref="K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D95F-05E1-4B31-84E5-43874324CFBD}">
  <dimension ref="B3:M36"/>
  <sheetViews>
    <sheetView showGridLines="0" zoomScale="107" workbookViewId="0">
      <selection activeCell="H6" sqref="H6"/>
    </sheetView>
  </sheetViews>
  <sheetFormatPr baseColWidth="10" defaultColWidth="8.83203125" defaultRowHeight="16" x14ac:dyDescent="0.2"/>
  <cols>
    <col min="2" max="2" width="37.1640625" customWidth="1"/>
    <col min="3" max="13" width="15.6640625" customWidth="1"/>
  </cols>
  <sheetData>
    <row r="3" spans="2:13" x14ac:dyDescent="0.2">
      <c r="B3" s="85" t="s">
        <v>112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0" t="s">
        <v>113</v>
      </c>
    </row>
    <row r="4" spans="2:13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2:13" ht="15" customHeight="1" x14ac:dyDescent="0.2">
      <c r="B5" s="83"/>
      <c r="C5" s="84">
        <v>43008</v>
      </c>
      <c r="D5" s="84">
        <f>+EOMONTH(C5,12)</f>
        <v>43373</v>
      </c>
      <c r="E5" s="84">
        <f t="shared" ref="E5:M5" si="0">+EOMONTH(D5,12)</f>
        <v>43738</v>
      </c>
      <c r="F5" s="84">
        <f t="shared" si="0"/>
        <v>44104</v>
      </c>
      <c r="G5" s="84">
        <f t="shared" si="0"/>
        <v>44469</v>
      </c>
      <c r="H5" s="84">
        <f t="shared" si="0"/>
        <v>44834</v>
      </c>
      <c r="I5" s="81">
        <f t="shared" si="0"/>
        <v>45199</v>
      </c>
      <c r="J5" s="81">
        <f t="shared" si="0"/>
        <v>45565</v>
      </c>
      <c r="K5" s="81">
        <f t="shared" si="0"/>
        <v>45930</v>
      </c>
      <c r="L5" s="81">
        <f t="shared" si="0"/>
        <v>46295</v>
      </c>
      <c r="M5" s="81">
        <f t="shared" si="0"/>
        <v>46660</v>
      </c>
    </row>
    <row r="6" spans="2:13" ht="15" customHeight="1" x14ac:dyDescent="0.2">
      <c r="B6" s="108" t="s">
        <v>142</v>
      </c>
      <c r="C6" s="380">
        <f>BS!C7</f>
        <v>2812</v>
      </c>
      <c r="D6" s="380">
        <f>BS!D7</f>
        <v>1534</v>
      </c>
      <c r="E6" s="380">
        <f>BS!E7</f>
        <v>3412</v>
      </c>
      <c r="F6" s="380">
        <f>BS!F7</f>
        <v>8289</v>
      </c>
      <c r="G6" s="380">
        <f>BS!G7</f>
        <v>4303</v>
      </c>
      <c r="H6" s="381">
        <f>BS!H7</f>
        <v>3092</v>
      </c>
      <c r="I6" s="231">
        <f ca="1">I23*I29</f>
        <v>6880.543702426985</v>
      </c>
      <c r="J6" s="231">
        <f t="shared" ref="J6:M6" ca="1" si="1">J23*J29</f>
        <v>7572.6224367082896</v>
      </c>
      <c r="K6" s="231">
        <f t="shared" ca="1" si="1"/>
        <v>8309.2446718763385</v>
      </c>
      <c r="L6" s="231">
        <f t="shared" ca="1" si="1"/>
        <v>9093.9443781396876</v>
      </c>
      <c r="M6" s="231">
        <f t="shared" ca="1" si="1"/>
        <v>9918.6929857432897</v>
      </c>
    </row>
    <row r="7" spans="2:13" ht="15" customHeight="1" x14ac:dyDescent="0.2">
      <c r="B7" s="108" t="s">
        <v>143</v>
      </c>
      <c r="C7" s="380">
        <f>BS!C8</f>
        <v>283</v>
      </c>
      <c r="D7" s="380">
        <f>BS!D8</f>
        <v>313</v>
      </c>
      <c r="E7" s="380">
        <f>BS!E8</f>
        <v>435</v>
      </c>
      <c r="F7" s="380">
        <f>BS!F8</f>
        <v>577</v>
      </c>
      <c r="G7" s="380">
        <f>BS!G8</f>
        <v>800</v>
      </c>
      <c r="H7" s="381">
        <f>BS!H8</f>
        <v>963</v>
      </c>
      <c r="I7" s="82">
        <f t="shared" ref="I7:M7" ca="1" si="2">I23*I26/I27</f>
        <v>942.54023320917611</v>
      </c>
      <c r="J7" s="82">
        <f t="shared" ca="1" si="2"/>
        <v>1037.3455392751082</v>
      </c>
      <c r="K7" s="82">
        <f t="shared" ca="1" si="2"/>
        <v>1138.2526947775805</v>
      </c>
      <c r="L7" s="82">
        <f t="shared" ca="1" si="2"/>
        <v>1245.745805224615</v>
      </c>
      <c r="M7" s="82">
        <f t="shared" ca="1" si="2"/>
        <v>1358.7250665401766</v>
      </c>
    </row>
    <row r="8" spans="2:13" ht="15" customHeight="1" x14ac:dyDescent="0.2">
      <c r="B8" s="108" t="s">
        <v>144</v>
      </c>
      <c r="C8" s="380">
        <f>BS!C9</f>
        <v>7712</v>
      </c>
      <c r="D8" s="380">
        <f>BS!D9</f>
        <v>2532</v>
      </c>
      <c r="E8" s="380">
        <f>BS!E9</f>
        <v>3972</v>
      </c>
      <c r="F8" s="380">
        <f>BS!F9</f>
        <v>2769</v>
      </c>
      <c r="G8" s="380">
        <f>BS!G9</f>
        <v>4846</v>
      </c>
      <c r="H8" s="381">
        <f>BS!H9</f>
        <v>7431</v>
      </c>
      <c r="I8" s="82">
        <f t="shared" ref="I8:M8" ca="1" si="3">I30*I23</f>
        <v>6255.0397294790782</v>
      </c>
      <c r="J8" s="82">
        <f t="shared" ca="1" si="3"/>
        <v>6539.9921044298862</v>
      </c>
      <c r="K8" s="82">
        <f t="shared" ca="1" si="3"/>
        <v>6798.4729133533665</v>
      </c>
      <c r="L8" s="82">
        <f t="shared" ca="1" si="3"/>
        <v>7027.138837653396</v>
      </c>
      <c r="M8" s="82">
        <f t="shared" ca="1" si="3"/>
        <v>7213.5948987223919</v>
      </c>
    </row>
    <row r="9" spans="2:13" ht="15" customHeight="1" x14ac:dyDescent="0.2">
      <c r="B9" s="108" t="s">
        <v>145</v>
      </c>
      <c r="C9" s="380">
        <f>BS!C10</f>
        <v>18242</v>
      </c>
      <c r="D9" s="380">
        <f>BS!D10</f>
        <v>20062</v>
      </c>
      <c r="E9" s="380">
        <f>BS!E10</f>
        <v>22527</v>
      </c>
      <c r="F9" s="380">
        <f>BS!F10</f>
        <v>33418</v>
      </c>
      <c r="G9" s="380">
        <f>BS!G10</f>
        <v>36141</v>
      </c>
      <c r="H9" s="381">
        <f>BS!H10</f>
        <v>36357</v>
      </c>
      <c r="I9" s="82">
        <f t="shared" ref="I9:M9" ca="1" si="4">I31*I23</f>
        <v>40657.758241614007</v>
      </c>
      <c r="J9" s="82">
        <f t="shared" ca="1" si="4"/>
        <v>44747.314398730807</v>
      </c>
      <c r="K9" s="82">
        <f t="shared" ca="1" si="4"/>
        <v>49100.082151996539</v>
      </c>
      <c r="L9" s="82">
        <f t="shared" ca="1" si="4"/>
        <v>53736.944052643616</v>
      </c>
      <c r="M9" s="82">
        <f t="shared" ca="1" si="4"/>
        <v>58610.458552119439</v>
      </c>
    </row>
    <row r="10" spans="2:13" ht="15" customHeight="1" x14ac:dyDescent="0.2">
      <c r="B10" s="108" t="s">
        <v>146</v>
      </c>
      <c r="C10" s="380">
        <f>BS!C11</f>
        <v>713</v>
      </c>
      <c r="D10" s="380">
        <f>BS!D11</f>
        <v>947</v>
      </c>
      <c r="E10" s="380">
        <f>BS!E11</f>
        <v>800</v>
      </c>
      <c r="F10" s="380">
        <f>BS!F11</f>
        <v>1148</v>
      </c>
      <c r="G10" s="380">
        <f>BS!G11</f>
        <v>1287</v>
      </c>
      <c r="H10" s="381">
        <f>BS!H11</f>
        <v>1898</v>
      </c>
      <c r="I10" s="82">
        <f t="shared" ref="I10:M10" ca="1" si="5">I32*I23</f>
        <v>1740.8174905806554</v>
      </c>
      <c r="J10" s="82">
        <f t="shared" ca="1" si="5"/>
        <v>1915.917427097424</v>
      </c>
      <c r="K10" s="82">
        <f t="shared" ca="1" si="5"/>
        <v>2102.2871278637804</v>
      </c>
      <c r="L10" s="82">
        <f t="shared" ca="1" si="5"/>
        <v>2300.8207078532373</v>
      </c>
      <c r="M10" s="82">
        <f t="shared" ca="1" si="5"/>
        <v>2509.4868923208924</v>
      </c>
    </row>
    <row r="11" spans="2:13" ht="15" customHeight="1" x14ac:dyDescent="0.2">
      <c r="B11" s="93" t="s">
        <v>114</v>
      </c>
      <c r="C11" s="382">
        <f t="shared" ref="C11:E11" si="6">SUM(C6:C10)</f>
        <v>29762</v>
      </c>
      <c r="D11" s="382">
        <f t="shared" si="6"/>
        <v>25388</v>
      </c>
      <c r="E11" s="382">
        <f t="shared" si="6"/>
        <v>31146</v>
      </c>
      <c r="F11" s="382">
        <f>SUM(F6:F10)</f>
        <v>46201</v>
      </c>
      <c r="G11" s="382">
        <f>SUM(G6:G10)</f>
        <v>47377</v>
      </c>
      <c r="H11" s="383">
        <f>SUM(H6:H10)</f>
        <v>49741</v>
      </c>
      <c r="I11" s="94">
        <f t="shared" ref="I11:M11" ca="1" si="7">SUM(I6:I10)</f>
        <v>56476.699397309902</v>
      </c>
      <c r="J11" s="94">
        <f t="shared" ca="1" si="7"/>
        <v>61813.191906241518</v>
      </c>
      <c r="K11" s="94">
        <f t="shared" ca="1" si="7"/>
        <v>67448.3395598676</v>
      </c>
      <c r="L11" s="94">
        <f t="shared" ca="1" si="7"/>
        <v>73404.593781514559</v>
      </c>
      <c r="M11" s="94">
        <f t="shared" ca="1" si="7"/>
        <v>79610.958395446185</v>
      </c>
    </row>
    <row r="12" spans="2:13" ht="15" customHeight="1" x14ac:dyDescent="0.2">
      <c r="B12" s="85"/>
      <c r="C12" s="384"/>
      <c r="D12" s="384"/>
      <c r="E12" s="384"/>
      <c r="F12" s="384"/>
      <c r="G12" s="384"/>
      <c r="H12" s="385"/>
      <c r="I12" s="82"/>
      <c r="J12" s="82"/>
      <c r="K12" s="82"/>
      <c r="L12" s="82"/>
      <c r="M12" s="82"/>
    </row>
    <row r="13" spans="2:13" ht="15" customHeight="1" x14ac:dyDescent="0.2">
      <c r="B13" s="108" t="s">
        <v>154</v>
      </c>
      <c r="C13" s="386">
        <f>BS!C20</f>
        <v>257</v>
      </c>
      <c r="D13" s="386">
        <f>BS!D20</f>
        <v>281</v>
      </c>
      <c r="E13" s="386">
        <f>BS!E20</f>
        <v>232</v>
      </c>
      <c r="F13" s="386">
        <f>BS!F20</f>
        <v>252</v>
      </c>
      <c r="G13" s="386">
        <f>BS!G20</f>
        <v>197</v>
      </c>
      <c r="H13" s="387">
        <f>BS!H20</f>
        <v>126</v>
      </c>
      <c r="I13" s="95">
        <f t="shared" ref="I13:M13" ca="1" si="8">I24*I26/I27</f>
        <v>473.1551970710064</v>
      </c>
      <c r="J13" s="95">
        <f t="shared" ca="1" si="8"/>
        <v>523.34082456429212</v>
      </c>
      <c r="K13" s="95">
        <f t="shared" ca="1" si="8"/>
        <v>577.09411625223333</v>
      </c>
      <c r="L13" s="95">
        <f t="shared" ca="1" si="8"/>
        <v>631.59312324887969</v>
      </c>
      <c r="M13" s="95">
        <f t="shared" ca="1" si="8"/>
        <v>688.87360873586942</v>
      </c>
    </row>
    <row r="14" spans="2:13" ht="15" customHeight="1" x14ac:dyDescent="0.2">
      <c r="B14" s="108" t="s">
        <v>155</v>
      </c>
      <c r="C14" s="386">
        <f>BS!C22</f>
        <v>19742</v>
      </c>
      <c r="D14" s="386">
        <f>BS!D22</f>
        <v>21562</v>
      </c>
      <c r="E14" s="386">
        <f>BS!E22</f>
        <v>24527</v>
      </c>
      <c r="F14" s="386">
        <f>BS!F22</f>
        <v>35418</v>
      </c>
      <c r="G14" s="386">
        <f>BS!G22</f>
        <v>38841</v>
      </c>
      <c r="H14" s="387">
        <f>BS!H22</f>
        <v>40107</v>
      </c>
      <c r="I14" s="82">
        <f t="shared" ref="I14:M15" ca="1" si="9">I34*I23</f>
        <v>45583.050808601161</v>
      </c>
      <c r="J14" s="82">
        <f t="shared" ca="1" si="9"/>
        <v>52695.853186742686</v>
      </c>
      <c r="K14" s="82">
        <f t="shared" ca="1" si="9"/>
        <v>57821.810209284915</v>
      </c>
      <c r="L14" s="82">
        <f t="shared" ca="1" si="9"/>
        <v>63282.325488177921</v>
      </c>
      <c r="M14" s="82">
        <f t="shared" ca="1" si="9"/>
        <v>69021.530354853094</v>
      </c>
    </row>
    <row r="15" spans="2:13" ht="15" customHeight="1" x14ac:dyDescent="0.2">
      <c r="B15" s="108" t="s">
        <v>156</v>
      </c>
      <c r="C15" s="386">
        <f>BS!C23</f>
        <v>1781</v>
      </c>
      <c r="D15" s="386">
        <f>BS!D23</f>
        <v>2002</v>
      </c>
      <c r="E15" s="386">
        <f>BS!E23</f>
        <v>2087</v>
      </c>
      <c r="F15" s="386">
        <f>BS!F23</f>
        <v>2648</v>
      </c>
      <c r="G15" s="386">
        <f>BS!G23</f>
        <v>3755</v>
      </c>
      <c r="H15" s="387">
        <f>BS!H23</f>
        <v>4055</v>
      </c>
      <c r="I15" s="82">
        <f t="shared" ca="1" si="9"/>
        <v>4541.4809037711184</v>
      </c>
      <c r="J15" s="82">
        <f t="shared" ca="1" si="9"/>
        <v>5023.1771216620191</v>
      </c>
      <c r="K15" s="82">
        <f t="shared" ca="1" si="9"/>
        <v>5539.1168159247227</v>
      </c>
      <c r="L15" s="82">
        <f t="shared" ca="1" si="9"/>
        <v>6062.2141021468897</v>
      </c>
      <c r="M15" s="82">
        <f t="shared" ca="1" si="9"/>
        <v>6612.0088261787678</v>
      </c>
    </row>
    <row r="16" spans="2:13" ht="15" customHeight="1" x14ac:dyDescent="0.2">
      <c r="B16" s="108" t="s">
        <v>157</v>
      </c>
      <c r="C16" s="386">
        <f>BS!C24</f>
        <v>83</v>
      </c>
      <c r="D16" s="386">
        <f>BS!D24</f>
        <v>61</v>
      </c>
      <c r="E16" s="386">
        <f>BS!E24</f>
        <v>73</v>
      </c>
      <c r="F16" s="386">
        <f>BS!F24</f>
        <v>129</v>
      </c>
      <c r="G16" s="386">
        <f>BS!G24</f>
        <v>236</v>
      </c>
      <c r="H16" s="388">
        <f>BS!H24</f>
        <v>813</v>
      </c>
      <c r="I16" s="82">
        <f ca="1">I36*IS!I30</f>
        <v>156.20418153888528</v>
      </c>
      <c r="J16" s="82">
        <f ca="1">J36*IS!J30</f>
        <v>192.49602167395895</v>
      </c>
      <c r="K16" s="82">
        <f ca="1">K36*IS!K30</f>
        <v>213.390066298763</v>
      </c>
      <c r="L16" s="82">
        <f ca="1">L36*IS!L30</f>
        <v>238.37544489382697</v>
      </c>
      <c r="M16" s="82">
        <f ca="1">M36*IS!M30</f>
        <v>266.64802646501323</v>
      </c>
    </row>
    <row r="17" spans="2:13" ht="15" customHeight="1" x14ac:dyDescent="0.2">
      <c r="B17" s="96" t="s">
        <v>12</v>
      </c>
      <c r="C17" s="389">
        <f t="shared" ref="C17:L17" si="10">SUM(C13:C16)</f>
        <v>21863</v>
      </c>
      <c r="D17" s="389">
        <f t="shared" si="10"/>
        <v>23906</v>
      </c>
      <c r="E17" s="389">
        <f t="shared" si="10"/>
        <v>26919</v>
      </c>
      <c r="F17" s="389">
        <f t="shared" si="10"/>
        <v>38447</v>
      </c>
      <c r="G17" s="390">
        <f t="shared" si="10"/>
        <v>43029</v>
      </c>
      <c r="H17" s="391">
        <f t="shared" si="10"/>
        <v>45101</v>
      </c>
      <c r="I17" s="97">
        <f t="shared" ca="1" si="10"/>
        <v>50753.891090982172</v>
      </c>
      <c r="J17" s="97">
        <f t="shared" ca="1" si="10"/>
        <v>58434.867154642954</v>
      </c>
      <c r="K17" s="97">
        <f t="shared" ca="1" si="10"/>
        <v>64151.411207760641</v>
      </c>
      <c r="L17" s="97">
        <f t="shared" ca="1" si="10"/>
        <v>70214.508158467521</v>
      </c>
      <c r="M17" s="97">
        <f ca="1">SUM(M13:M16)</f>
        <v>76589.060816232741</v>
      </c>
    </row>
    <row r="18" spans="2:13" ht="15" customHeight="1" x14ac:dyDescent="0.2">
      <c r="B18" s="98"/>
      <c r="C18" s="392"/>
      <c r="D18" s="392"/>
      <c r="E18" s="392"/>
      <c r="F18" s="392"/>
      <c r="G18" s="392"/>
      <c r="H18" s="393"/>
      <c r="I18" s="99"/>
      <c r="J18" s="99"/>
      <c r="K18" s="99"/>
      <c r="L18" s="99"/>
      <c r="M18" s="99"/>
    </row>
    <row r="19" spans="2:13" ht="15" customHeight="1" x14ac:dyDescent="0.2">
      <c r="B19" s="100" t="s">
        <v>112</v>
      </c>
      <c r="C19" s="394">
        <f t="shared" ref="C19:M19" si="11">+C11-C17</f>
        <v>7899</v>
      </c>
      <c r="D19" s="394">
        <f t="shared" si="11"/>
        <v>1482</v>
      </c>
      <c r="E19" s="394">
        <f t="shared" si="11"/>
        <v>4227</v>
      </c>
      <c r="F19" s="394">
        <f t="shared" si="11"/>
        <v>7754</v>
      </c>
      <c r="G19" s="384">
        <f t="shared" si="11"/>
        <v>4348</v>
      </c>
      <c r="H19" s="385">
        <f t="shared" si="11"/>
        <v>4640</v>
      </c>
      <c r="I19" s="101">
        <f t="shared" ca="1" si="11"/>
        <v>5722.80830632773</v>
      </c>
      <c r="J19" s="101">
        <f t="shared" ca="1" si="11"/>
        <v>3378.324751598564</v>
      </c>
      <c r="K19" s="101">
        <f t="shared" ca="1" si="11"/>
        <v>3296.9283521069592</v>
      </c>
      <c r="L19" s="101">
        <f t="shared" ca="1" si="11"/>
        <v>3190.0856230470381</v>
      </c>
      <c r="M19" s="101">
        <f t="shared" ca="1" si="11"/>
        <v>3021.8975792134443</v>
      </c>
    </row>
    <row r="20" spans="2:13" ht="15" customHeight="1" x14ac:dyDescent="0.2">
      <c r="B20" s="102" t="s">
        <v>115</v>
      </c>
      <c r="C20" s="382"/>
      <c r="D20" s="382">
        <f>D19-C19</f>
        <v>-6417</v>
      </c>
      <c r="E20" s="382">
        <f t="shared" ref="E20:L20" si="12">E19-D19</f>
        <v>2745</v>
      </c>
      <c r="F20" s="382">
        <f>F19-E19</f>
        <v>3527</v>
      </c>
      <c r="G20" s="390">
        <f t="shared" si="12"/>
        <v>-3406</v>
      </c>
      <c r="H20" s="391">
        <f>H19-G19</f>
        <v>292</v>
      </c>
      <c r="I20" s="94">
        <f t="shared" ca="1" si="12"/>
        <v>1082.80830632773</v>
      </c>
      <c r="J20" s="94">
        <f t="shared" ca="1" si="12"/>
        <v>-2344.4835547291659</v>
      </c>
      <c r="K20" s="94">
        <f t="shared" ca="1" si="12"/>
        <v>-81.396399491604825</v>
      </c>
      <c r="L20" s="94">
        <f t="shared" ca="1" si="12"/>
        <v>-106.84272905992111</v>
      </c>
      <c r="M20" s="94">
        <f ca="1">M19-L19</f>
        <v>-168.18804383359384</v>
      </c>
    </row>
    <row r="21" spans="2:13" ht="15" customHeight="1" x14ac:dyDescent="0.2">
      <c r="B21" s="85"/>
      <c r="C21" s="395"/>
      <c r="D21" s="395"/>
      <c r="E21" s="395"/>
      <c r="F21" s="395"/>
      <c r="G21" s="395"/>
      <c r="H21" s="396"/>
      <c r="I21" s="103"/>
      <c r="J21" s="103"/>
      <c r="K21" s="103"/>
      <c r="L21" s="103"/>
      <c r="M21" s="103"/>
    </row>
    <row r="22" spans="2:13" ht="15" customHeight="1" x14ac:dyDescent="0.2">
      <c r="B22" s="105" t="s">
        <v>116</v>
      </c>
      <c r="C22" s="395"/>
      <c r="D22" s="395"/>
      <c r="E22" s="395"/>
      <c r="F22" s="395"/>
      <c r="G22" s="395"/>
      <c r="H22" s="396"/>
      <c r="I22" s="103"/>
      <c r="J22" s="103"/>
      <c r="K22" s="103"/>
      <c r="L22" s="103"/>
      <c r="M22" s="103"/>
    </row>
    <row r="23" spans="2:13" ht="15" customHeight="1" x14ac:dyDescent="0.2">
      <c r="B23" s="85" t="s">
        <v>2</v>
      </c>
      <c r="C23" s="397">
        <f>IS!C5</f>
        <v>13094</v>
      </c>
      <c r="D23" s="397">
        <f>IS!D5</f>
        <v>15451</v>
      </c>
      <c r="E23" s="397">
        <f>IS!E5</f>
        <v>17772</v>
      </c>
      <c r="F23" s="397">
        <f>IS!F5</f>
        <v>21454</v>
      </c>
      <c r="G23" s="397">
        <f>IS!G5</f>
        <v>25371</v>
      </c>
      <c r="H23" s="398">
        <f>IS!H5</f>
        <v>27518</v>
      </c>
      <c r="I23" s="397">
        <f ca="1">IS!I5</f>
        <v>31275.198647395388</v>
      </c>
      <c r="J23" s="397">
        <f ca="1">IS!J5</f>
        <v>34421.011075946772</v>
      </c>
      <c r="K23" s="397">
        <f ca="1">IS!K5</f>
        <v>37769.293963074262</v>
      </c>
      <c r="L23" s="397">
        <f ca="1">IS!L5</f>
        <v>41336.110809725855</v>
      </c>
      <c r="M23" s="397">
        <f ca="1">IS!M5</f>
        <v>45084.968117014949</v>
      </c>
    </row>
    <row r="24" spans="2:13" ht="15" customHeight="1" x14ac:dyDescent="0.2">
      <c r="B24" s="85" t="s">
        <v>117</v>
      </c>
      <c r="C24" s="397">
        <f>IS!C10</f>
        <v>5430</v>
      </c>
      <c r="D24" s="397">
        <f>IS!D10</f>
        <v>6855</v>
      </c>
      <c r="E24" s="397">
        <f>IS!E10</f>
        <v>8170</v>
      </c>
      <c r="F24" s="397">
        <f>IS!F10</f>
        <v>9675</v>
      </c>
      <c r="G24" s="397">
        <f>IS!G10</f>
        <v>11375</v>
      </c>
      <c r="H24" s="398">
        <f>IS!H10</f>
        <v>13745</v>
      </c>
      <c r="I24" s="397">
        <f ca="1">IS!I10</f>
        <v>15700.149720992486</v>
      </c>
      <c r="J24" s="397">
        <f ca="1">IS!J10</f>
        <v>17365.400087815146</v>
      </c>
      <c r="K24" s="397">
        <f ca="1">IS!K10</f>
        <v>19149.032039278653</v>
      </c>
      <c r="L24" s="397">
        <f ca="1">IS!L10</f>
        <v>20957.408180531009</v>
      </c>
      <c r="M24" s="397">
        <f ca="1">IS!M10</f>
        <v>22858.078835326578</v>
      </c>
    </row>
    <row r="25" spans="2:13" ht="15" customHeight="1" x14ac:dyDescent="0.2">
      <c r="B25" s="85" t="s">
        <v>118</v>
      </c>
      <c r="C25" s="103">
        <f>(C7)*C27/C23</f>
        <v>7.8887276615243627</v>
      </c>
      <c r="D25" s="103">
        <f t="shared" ref="D25:E25" si="13">0.5*(D7+C7)*D27/D23</f>
        <v>7.0396738075205487</v>
      </c>
      <c r="E25" s="103">
        <f t="shared" si="13"/>
        <v>7.6811838847625475</v>
      </c>
      <c r="F25" s="103">
        <f>0.5*(F7+E7)*F27/F23</f>
        <v>8.6086510674000181</v>
      </c>
      <c r="G25" s="103">
        <f>0.5*(G7+F7)*G27/G23</f>
        <v>9.9051081943951758</v>
      </c>
      <c r="H25" s="104">
        <f>0.5*(H7+G7)*H27/H23</f>
        <v>11.69225597790537</v>
      </c>
      <c r="I25" s="399">
        <f t="shared" ref="I25:M26" si="14">H25</f>
        <v>11.69225597790537</v>
      </c>
      <c r="J25" s="399">
        <f t="shared" si="14"/>
        <v>11.69225597790537</v>
      </c>
      <c r="K25" s="399">
        <f t="shared" si="14"/>
        <v>11.69225597790537</v>
      </c>
      <c r="L25" s="399">
        <f t="shared" si="14"/>
        <v>11.69225597790537</v>
      </c>
      <c r="M25" s="399">
        <f t="shared" si="14"/>
        <v>11.69225597790537</v>
      </c>
    </row>
    <row r="26" spans="2:13" ht="15" customHeight="1" x14ac:dyDescent="0.2">
      <c r="B26" s="85" t="s">
        <v>119</v>
      </c>
      <c r="C26" s="103">
        <f>(C13)*C27/C24</f>
        <v>17.275322283609576</v>
      </c>
      <c r="D26" s="103">
        <f t="shared" ref="D26:E26" si="15">0.5*(D13+C13)*D27/D24</f>
        <v>14.323121808898614</v>
      </c>
      <c r="E26" s="103">
        <f t="shared" si="15"/>
        <v>11.459302325581396</v>
      </c>
      <c r="F26" s="103">
        <f>0.5*(F13+E13)*F27/F24</f>
        <v>9.1297157622739018</v>
      </c>
      <c r="G26" s="103">
        <f>0.5*(G13+F13)*G27/G24</f>
        <v>7.2037362637362641</v>
      </c>
      <c r="H26" s="104">
        <f>0.5*(H13+G13)*H27/H24</f>
        <v>4.2886504183339396</v>
      </c>
      <c r="I26" s="399">
        <f>ROUND(AVERAGE(C26:H26),0)</f>
        <v>11</v>
      </c>
      <c r="J26" s="399">
        <f t="shared" si="14"/>
        <v>11</v>
      </c>
      <c r="K26" s="399">
        <f t="shared" si="14"/>
        <v>11</v>
      </c>
      <c r="L26" s="399">
        <f t="shared" si="14"/>
        <v>11</v>
      </c>
      <c r="M26" s="399">
        <f t="shared" si="14"/>
        <v>11</v>
      </c>
    </row>
    <row r="27" spans="2:13" ht="15" customHeight="1" x14ac:dyDescent="0.2">
      <c r="B27" s="85" t="s">
        <v>120</v>
      </c>
      <c r="C27" s="103">
        <v>365</v>
      </c>
      <c r="D27" s="103">
        <v>365</v>
      </c>
      <c r="E27" s="103">
        <v>365</v>
      </c>
      <c r="F27" s="103">
        <v>365</v>
      </c>
      <c r="G27" s="103">
        <v>365</v>
      </c>
      <c r="H27" s="104">
        <v>365</v>
      </c>
      <c r="I27" s="103">
        <v>365</v>
      </c>
      <c r="J27" s="103">
        <v>365</v>
      </c>
      <c r="K27" s="103">
        <v>365</v>
      </c>
      <c r="L27" s="103">
        <v>365</v>
      </c>
      <c r="M27" s="103">
        <v>365</v>
      </c>
    </row>
    <row r="28" spans="2:13" ht="15" customHeight="1" x14ac:dyDescent="0.2">
      <c r="B28" s="85"/>
      <c r="C28" s="103"/>
      <c r="D28" s="103"/>
      <c r="E28" s="103"/>
      <c r="F28" s="103"/>
      <c r="G28" s="103"/>
      <c r="H28" s="104"/>
      <c r="I28" s="103"/>
      <c r="J28" s="103"/>
      <c r="K28" s="103"/>
      <c r="L28" s="103"/>
      <c r="M28" s="103"/>
    </row>
    <row r="29" spans="2:13" ht="15" customHeight="1" x14ac:dyDescent="0.2">
      <c r="B29" s="85" t="s">
        <v>244</v>
      </c>
      <c r="C29" s="115">
        <f>C6/C23</f>
        <v>0.21475484954941196</v>
      </c>
      <c r="D29" s="115">
        <f>((1/2)*D6+C6)/D23</f>
        <v>0.23163549284835933</v>
      </c>
      <c r="E29" s="115">
        <f t="shared" ref="E29:H29" si="16">((1/2)*E6+D6)/E23</f>
        <v>0.18230925050641458</v>
      </c>
      <c r="F29" s="115">
        <f t="shared" si="16"/>
        <v>0.3522187004754358</v>
      </c>
      <c r="G29" s="115">
        <f t="shared" si="16"/>
        <v>0.41151314492924995</v>
      </c>
      <c r="H29" s="116">
        <f t="shared" si="16"/>
        <v>0.21255178428664873</v>
      </c>
      <c r="I29" s="400">
        <f>0.22</f>
        <v>0.22</v>
      </c>
      <c r="J29" s="400">
        <f t="shared" ref="J29:M29" si="17">0.22</f>
        <v>0.22</v>
      </c>
      <c r="K29" s="400">
        <f t="shared" si="17"/>
        <v>0.22</v>
      </c>
      <c r="L29" s="400">
        <f t="shared" si="17"/>
        <v>0.22</v>
      </c>
      <c r="M29" s="400">
        <f t="shared" si="17"/>
        <v>0.22</v>
      </c>
    </row>
    <row r="30" spans="2:13" ht="15" customHeight="1" x14ac:dyDescent="0.2">
      <c r="B30" s="85" t="s">
        <v>177</v>
      </c>
      <c r="C30" s="115">
        <f t="shared" ref="C30:H30" si="18">C8/C23</f>
        <v>0.5889720482663815</v>
      </c>
      <c r="D30" s="115">
        <f t="shared" si="18"/>
        <v>0.16387288848618212</v>
      </c>
      <c r="E30" s="115">
        <f t="shared" si="18"/>
        <v>0.22349763673193787</v>
      </c>
      <c r="F30" s="115">
        <f t="shared" si="18"/>
        <v>0.12906684068239024</v>
      </c>
      <c r="G30" s="115">
        <f t="shared" si="18"/>
        <v>0.19100547869614914</v>
      </c>
      <c r="H30" s="116">
        <f t="shared" si="18"/>
        <v>0.27004142742931897</v>
      </c>
      <c r="I30" s="400">
        <v>0.2</v>
      </c>
      <c r="J30" s="400">
        <v>0.19</v>
      </c>
      <c r="K30" s="400">
        <v>0.18</v>
      </c>
      <c r="L30" s="400">
        <v>0.17</v>
      </c>
      <c r="M30" s="400">
        <v>0.16</v>
      </c>
    </row>
    <row r="31" spans="2:13" ht="15" customHeight="1" x14ac:dyDescent="0.2">
      <c r="B31" s="85" t="s">
        <v>178</v>
      </c>
      <c r="C31" s="115">
        <f t="shared" ref="C31:H31" si="19">C9/C23</f>
        <v>1.3931571712234612</v>
      </c>
      <c r="D31" s="115">
        <f t="shared" si="19"/>
        <v>1.298427286259789</v>
      </c>
      <c r="E31" s="115">
        <f t="shared" si="19"/>
        <v>1.2675557056043214</v>
      </c>
      <c r="F31" s="115">
        <f t="shared" si="19"/>
        <v>1.5576582455486156</v>
      </c>
      <c r="G31" s="115">
        <f t="shared" si="19"/>
        <v>1.4245004138583421</v>
      </c>
      <c r="H31" s="116">
        <f t="shared" si="19"/>
        <v>1.3212079366233012</v>
      </c>
      <c r="I31" s="401">
        <v>1.3</v>
      </c>
      <c r="J31" s="401">
        <v>1.3</v>
      </c>
      <c r="K31" s="401">
        <v>1.3</v>
      </c>
      <c r="L31" s="401">
        <v>1.3</v>
      </c>
      <c r="M31" s="401">
        <v>1.3</v>
      </c>
    </row>
    <row r="32" spans="2:13" ht="15" customHeight="1" x14ac:dyDescent="0.2">
      <c r="B32" s="85" t="s">
        <v>179</v>
      </c>
      <c r="C32" s="115">
        <f t="shared" ref="C32:H32" si="20">C10/C23</f>
        <v>5.4452420956163129E-2</v>
      </c>
      <c r="D32" s="115">
        <f t="shared" si="20"/>
        <v>6.1290531357193707E-2</v>
      </c>
      <c r="E32" s="115">
        <f t="shared" si="20"/>
        <v>4.5014629754670271E-2</v>
      </c>
      <c r="F32" s="115">
        <f t="shared" si="20"/>
        <v>5.3509834995804979E-2</v>
      </c>
      <c r="G32" s="115">
        <f t="shared" si="20"/>
        <v>5.0727208229868745E-2</v>
      </c>
      <c r="H32" s="116">
        <f t="shared" si="20"/>
        <v>6.8973035831092377E-2</v>
      </c>
      <c r="I32" s="401">
        <f>AVERAGE($C$32:$H$32)</f>
        <v>5.5661276854132198E-2</v>
      </c>
      <c r="J32" s="401">
        <f t="shared" ref="J32:M32" si="21">AVERAGE($C$32:$H$32)</f>
        <v>5.5661276854132198E-2</v>
      </c>
      <c r="K32" s="401">
        <f t="shared" si="21"/>
        <v>5.5661276854132198E-2</v>
      </c>
      <c r="L32" s="401">
        <f t="shared" si="21"/>
        <v>5.5661276854132198E-2</v>
      </c>
      <c r="M32" s="401">
        <f t="shared" si="21"/>
        <v>5.5661276854132198E-2</v>
      </c>
    </row>
    <row r="33" spans="2:13" ht="15" customHeight="1" x14ac:dyDescent="0.2">
      <c r="B33" s="85"/>
      <c r="C33" s="103"/>
      <c r="D33" s="103"/>
      <c r="E33" s="103"/>
      <c r="F33" s="115"/>
      <c r="G33" s="115"/>
      <c r="H33" s="267"/>
      <c r="I33" s="401"/>
      <c r="J33" s="401"/>
      <c r="K33" s="401"/>
      <c r="L33" s="401"/>
      <c r="M33" s="401"/>
    </row>
    <row r="34" spans="2:13" ht="15" customHeight="1" x14ac:dyDescent="0.2">
      <c r="B34" s="85" t="s">
        <v>180</v>
      </c>
      <c r="C34" s="106">
        <f t="shared" ref="C34:H35" si="22">C14/C23</f>
        <v>1.5077134565449823</v>
      </c>
      <c r="D34" s="106">
        <f t="shared" si="22"/>
        <v>1.3955083813345415</v>
      </c>
      <c r="E34" s="106">
        <f t="shared" si="22"/>
        <v>1.3800922799909972</v>
      </c>
      <c r="F34" s="106">
        <f t="shared" si="22"/>
        <v>1.6508809546005407</v>
      </c>
      <c r="G34" s="106">
        <f t="shared" si="22"/>
        <v>1.5309211304245005</v>
      </c>
      <c r="H34" s="107">
        <f t="shared" si="22"/>
        <v>1.4574823751726143</v>
      </c>
      <c r="I34" s="401">
        <f>$H$34</f>
        <v>1.4574823751726143</v>
      </c>
      <c r="J34" s="401">
        <f t="shared" ref="J34:M34" si="23">$G$34</f>
        <v>1.5309211304245005</v>
      </c>
      <c r="K34" s="401">
        <f t="shared" si="23"/>
        <v>1.5309211304245005</v>
      </c>
      <c r="L34" s="401">
        <f t="shared" si="23"/>
        <v>1.5309211304245005</v>
      </c>
      <c r="M34" s="401">
        <f t="shared" si="23"/>
        <v>1.5309211304245005</v>
      </c>
    </row>
    <row r="35" spans="2:13" ht="15" customHeight="1" x14ac:dyDescent="0.2">
      <c r="B35" s="85" t="s">
        <v>181</v>
      </c>
      <c r="C35" s="106">
        <f t="shared" si="22"/>
        <v>0.32799263351749541</v>
      </c>
      <c r="D35" s="106">
        <f t="shared" si="22"/>
        <v>0.29204959883296866</v>
      </c>
      <c r="E35" s="106">
        <f t="shared" si="22"/>
        <v>0.25544675642594861</v>
      </c>
      <c r="F35" s="106">
        <f t="shared" si="22"/>
        <v>0.27369509043927648</v>
      </c>
      <c r="G35" s="106">
        <f t="shared" si="22"/>
        <v>0.33010989010989011</v>
      </c>
      <c r="H35" s="107">
        <f t="shared" si="22"/>
        <v>0.29501636958894145</v>
      </c>
      <c r="I35" s="401">
        <f>AVERAGE($D$35:$H$35)</f>
        <v>0.289263541079405</v>
      </c>
      <c r="J35" s="401">
        <f t="shared" ref="J35:M35" si="24">AVERAGE($D$35:$H$35)</f>
        <v>0.289263541079405</v>
      </c>
      <c r="K35" s="401">
        <f t="shared" si="24"/>
        <v>0.289263541079405</v>
      </c>
      <c r="L35" s="401">
        <f t="shared" si="24"/>
        <v>0.289263541079405</v>
      </c>
      <c r="M35" s="401">
        <f t="shared" si="24"/>
        <v>0.289263541079405</v>
      </c>
    </row>
    <row r="36" spans="2:13" ht="15" customHeight="1" x14ac:dyDescent="0.2">
      <c r="B36" s="85" t="s">
        <v>121</v>
      </c>
      <c r="C36" s="106">
        <f>C16/IS!C30</f>
        <v>0.20493827160493827</v>
      </c>
      <c r="D36" s="106">
        <f>D16/IS!D30</f>
        <v>0.19122257053291536</v>
      </c>
      <c r="E36" s="106">
        <f>E16/IS!E30</f>
        <v>0.13543599257884972</v>
      </c>
      <c r="F36" s="106">
        <f>F16/IS!F30</f>
        <v>0.14947856315179606</v>
      </c>
      <c r="G36" s="106">
        <f>G16/IS!G30</f>
        <v>-3.3714285714285714</v>
      </c>
      <c r="H36" s="107">
        <f>H16/IS!H30</f>
        <v>0.8585005279831045</v>
      </c>
      <c r="I36" s="401">
        <f t="shared" ref="I36:M36" si="25">0.2</f>
        <v>0.2</v>
      </c>
      <c r="J36" s="401">
        <f t="shared" si="25"/>
        <v>0.2</v>
      </c>
      <c r="K36" s="401">
        <f t="shared" si="25"/>
        <v>0.2</v>
      </c>
      <c r="L36" s="401">
        <f t="shared" si="25"/>
        <v>0.2</v>
      </c>
      <c r="M36" s="401">
        <f t="shared" si="25"/>
        <v>0.2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ED73-07F8-C748-9798-BF1D532735B9}">
  <dimension ref="B1:M28"/>
  <sheetViews>
    <sheetView showGridLines="0" zoomScale="112" workbookViewId="0">
      <selection activeCell="G1" sqref="G1"/>
    </sheetView>
  </sheetViews>
  <sheetFormatPr baseColWidth="10" defaultRowHeight="16" x14ac:dyDescent="0.2"/>
  <cols>
    <col min="2" max="2" width="19.83203125" customWidth="1"/>
    <col min="3" max="3" width="12.33203125" customWidth="1"/>
    <col min="4" max="4" width="13.5" customWidth="1"/>
    <col min="5" max="5" width="10.1640625" customWidth="1"/>
    <col min="6" max="6" width="12.83203125" customWidth="1"/>
    <col min="7" max="7" width="12.5" customWidth="1"/>
    <col min="8" max="8" width="13.5" customWidth="1"/>
    <col min="9" max="9" width="12.6640625" customWidth="1"/>
    <col min="10" max="13" width="13" bestFit="1" customWidth="1"/>
  </cols>
  <sheetData>
    <row r="1" spans="2:13" x14ac:dyDescent="0.2">
      <c r="B1" s="341"/>
      <c r="C1" s="341"/>
      <c r="D1" s="341"/>
      <c r="E1" s="341"/>
      <c r="F1" s="341"/>
    </row>
    <row r="2" spans="2:13" x14ac:dyDescent="0.2">
      <c r="B2" s="340" t="s">
        <v>256</v>
      </c>
      <c r="C2" s="341"/>
      <c r="D2" s="341"/>
      <c r="E2" s="341"/>
      <c r="F2" s="341"/>
    </row>
    <row r="3" spans="2:13" x14ac:dyDescent="0.2">
      <c r="B3" s="83"/>
      <c r="C3" s="84">
        <v>43008</v>
      </c>
      <c r="D3" s="84">
        <f>+EOMONTH(C3,12)</f>
        <v>43373</v>
      </c>
      <c r="E3" s="84">
        <f t="shared" ref="E3:M3" si="0">+EOMONTH(D3,12)</f>
        <v>43738</v>
      </c>
      <c r="F3" s="84">
        <f t="shared" si="0"/>
        <v>44104</v>
      </c>
      <c r="G3" s="84">
        <f t="shared" si="0"/>
        <v>44469</v>
      </c>
      <c r="H3" s="84">
        <f t="shared" si="0"/>
        <v>44834</v>
      </c>
      <c r="I3" s="81">
        <f t="shared" si="0"/>
        <v>45199</v>
      </c>
      <c r="J3" s="81">
        <f t="shared" si="0"/>
        <v>45565</v>
      </c>
      <c r="K3" s="81">
        <f t="shared" si="0"/>
        <v>45930</v>
      </c>
      <c r="L3" s="81">
        <f t="shared" si="0"/>
        <v>46295</v>
      </c>
      <c r="M3" s="81">
        <f t="shared" si="0"/>
        <v>46660</v>
      </c>
    </row>
    <row r="4" spans="2:13" x14ac:dyDescent="0.2">
      <c r="B4" t="s">
        <v>245</v>
      </c>
      <c r="C4" s="338">
        <f>C22*0.36</f>
        <v>162360</v>
      </c>
      <c r="E4" s="314">
        <v>209100</v>
      </c>
      <c r="G4" s="314">
        <f>H4/(1+H5)</f>
        <v>453000</v>
      </c>
      <c r="H4" s="344">
        <v>475650</v>
      </c>
      <c r="I4" s="314">
        <f>H4*(1+I5)</f>
        <v>494676</v>
      </c>
      <c r="J4" s="314">
        <f t="shared" ref="J4:M4" si="1">I4*(1+J5)</f>
        <v>521883.18</v>
      </c>
      <c r="K4" s="314">
        <f t="shared" si="1"/>
        <v>547977.33900000004</v>
      </c>
      <c r="L4" s="314">
        <f t="shared" si="1"/>
        <v>569896.4325600001</v>
      </c>
      <c r="M4" s="314">
        <f t="shared" si="1"/>
        <v>598391.25418800011</v>
      </c>
    </row>
    <row r="5" spans="2:13" x14ac:dyDescent="0.2">
      <c r="B5" s="309" t="s">
        <v>246</v>
      </c>
      <c r="C5" s="338"/>
      <c r="E5" s="314"/>
      <c r="G5" s="314"/>
      <c r="H5" s="345">
        <v>0.05</v>
      </c>
      <c r="I5" s="326">
        <v>0.04</v>
      </c>
      <c r="J5" s="326">
        <v>5.5E-2</v>
      </c>
      <c r="K5" s="326">
        <v>0.05</v>
      </c>
      <c r="L5" s="324">
        <v>0.04</v>
      </c>
      <c r="M5" s="324">
        <v>0.05</v>
      </c>
    </row>
    <row r="6" spans="2:13" x14ac:dyDescent="0.2">
      <c r="C6" s="338"/>
      <c r="E6" s="314"/>
      <c r="G6" s="314"/>
      <c r="H6" s="344"/>
      <c r="I6" s="316"/>
    </row>
    <row r="7" spans="2:13" x14ac:dyDescent="0.2">
      <c r="B7" t="s">
        <v>248</v>
      </c>
      <c r="C7" s="338">
        <f>C22*0.19</f>
        <v>85690</v>
      </c>
      <c r="E7" s="314">
        <v>109800</v>
      </c>
      <c r="G7" s="314">
        <f t="shared" ref="G5:G19" si="2">H7/(1+H8)</f>
        <v>308000.00000000006</v>
      </c>
      <c r="H7" s="344">
        <v>431200.00000000006</v>
      </c>
      <c r="I7" s="316">
        <f>H7*(1+I8)</f>
        <v>564872.00000000012</v>
      </c>
      <c r="J7" s="322">
        <f>I7*(J8+1)</f>
        <v>723262.10880000016</v>
      </c>
      <c r="K7" s="322">
        <f>J7*(1+K8)</f>
        <v>918542.8781760002</v>
      </c>
      <c r="L7" s="323">
        <f>(L8+1)*K7</f>
        <v>1148178.5977200002</v>
      </c>
      <c r="M7" s="323">
        <f>(M8+1)*L7</f>
        <v>1400777.8892184002</v>
      </c>
    </row>
    <row r="8" spans="2:13" x14ac:dyDescent="0.2">
      <c r="B8" s="309" t="s">
        <v>246</v>
      </c>
      <c r="C8" s="338"/>
      <c r="E8" s="314"/>
      <c r="G8" s="314"/>
      <c r="H8" s="345">
        <v>0.4</v>
      </c>
      <c r="I8" s="326">
        <v>0.31</v>
      </c>
      <c r="J8" s="326">
        <v>0.28039999999999998</v>
      </c>
      <c r="K8" s="326">
        <v>0.27</v>
      </c>
      <c r="L8" s="324">
        <v>0.25</v>
      </c>
      <c r="M8" s="324">
        <v>0.22</v>
      </c>
    </row>
    <row r="9" spans="2:13" x14ac:dyDescent="0.2">
      <c r="C9" s="338"/>
      <c r="E9" s="314"/>
      <c r="G9" s="314"/>
      <c r="H9" s="344"/>
      <c r="I9" s="316"/>
    </row>
    <row r="10" spans="2:13" x14ac:dyDescent="0.2">
      <c r="B10" t="s">
        <v>250</v>
      </c>
      <c r="C10" s="338">
        <f>C22*0.13</f>
        <v>58630</v>
      </c>
      <c r="E10" s="314">
        <v>75100</v>
      </c>
      <c r="G10" s="314">
        <f t="shared" si="2"/>
        <v>131000</v>
      </c>
      <c r="H10" s="344">
        <v>129690</v>
      </c>
      <c r="I10" s="316">
        <f>H10*(1+I11)</f>
        <v>140065.20000000001</v>
      </c>
      <c r="J10" s="316">
        <f t="shared" ref="J10:M10" si="3">I10*(1+J11)</f>
        <v>149169.43799999999</v>
      </c>
      <c r="K10" s="316">
        <f t="shared" si="3"/>
        <v>156627.9099</v>
      </c>
      <c r="L10" s="316">
        <f t="shared" si="3"/>
        <v>164459.305395</v>
      </c>
      <c r="M10" s="316">
        <f t="shared" si="3"/>
        <v>172682.27066475002</v>
      </c>
    </row>
    <row r="11" spans="2:13" x14ac:dyDescent="0.2">
      <c r="B11" s="309" t="s">
        <v>246</v>
      </c>
      <c r="C11" s="338"/>
      <c r="E11" s="314"/>
      <c r="G11" s="314"/>
      <c r="H11" s="345">
        <v>-0.01</v>
      </c>
      <c r="I11" s="326">
        <v>0.08</v>
      </c>
      <c r="J11" s="326">
        <v>6.5000000000000002E-2</v>
      </c>
      <c r="K11" s="326">
        <v>0.05</v>
      </c>
      <c r="L11" s="324">
        <v>0.05</v>
      </c>
      <c r="M11" s="324">
        <f>0.05</f>
        <v>0.05</v>
      </c>
    </row>
    <row r="12" spans="2:13" x14ac:dyDescent="0.2">
      <c r="C12" s="338"/>
      <c r="E12" s="314"/>
      <c r="G12" s="314"/>
      <c r="H12" s="344"/>
      <c r="I12" s="316"/>
    </row>
    <row r="13" spans="2:13" x14ac:dyDescent="0.2">
      <c r="B13" t="s">
        <v>251</v>
      </c>
      <c r="C13" s="338">
        <f>C22*0.11</f>
        <v>49610</v>
      </c>
      <c r="E13" s="314">
        <v>63600</v>
      </c>
      <c r="G13" s="314">
        <f t="shared" si="2"/>
        <v>226000</v>
      </c>
      <c r="H13" s="344">
        <v>241820</v>
      </c>
      <c r="I13" s="316">
        <f>H13*(1+I14)</f>
        <v>270838.40000000002</v>
      </c>
      <c r="J13" s="322">
        <f>I13*(1+J14)</f>
        <v>303447.34336000006</v>
      </c>
      <c r="K13" s="322">
        <f>J13*(1+K14)</f>
        <v>330757.60426240007</v>
      </c>
      <c r="L13" s="325">
        <f>(L14+1)*K13</f>
        <v>360525.7886460161</v>
      </c>
      <c r="M13" s="325">
        <f>(M14+1)*L13</f>
        <v>396578.36751061771</v>
      </c>
    </row>
    <row r="14" spans="2:13" x14ac:dyDescent="0.2">
      <c r="B14" s="309" t="s">
        <v>246</v>
      </c>
      <c r="C14" s="338"/>
      <c r="D14" s="338"/>
      <c r="E14" s="314"/>
      <c r="G14" s="314"/>
      <c r="H14" s="345">
        <v>7.0000000000000007E-2</v>
      </c>
      <c r="I14" s="326">
        <v>0.12</v>
      </c>
      <c r="J14" s="326">
        <v>0.12039999999999999</v>
      </c>
      <c r="K14" s="326">
        <v>0.09</v>
      </c>
      <c r="L14" s="324">
        <v>0.09</v>
      </c>
      <c r="M14" s="324">
        <f>(0.1)</f>
        <v>0.1</v>
      </c>
    </row>
    <row r="15" spans="2:13" x14ac:dyDescent="0.2">
      <c r="E15" s="314"/>
      <c r="G15" s="314"/>
      <c r="H15" s="344"/>
      <c r="I15" s="316"/>
    </row>
    <row r="16" spans="2:13" x14ac:dyDescent="0.2">
      <c r="B16" t="s">
        <v>252</v>
      </c>
      <c r="C16" s="338">
        <f>C22*0.11</f>
        <v>49610</v>
      </c>
      <c r="E16" s="314">
        <v>63800</v>
      </c>
      <c r="G16" s="314">
        <f t="shared" si="2"/>
        <v>44000</v>
      </c>
      <c r="H16" s="344">
        <v>30359.999999999996</v>
      </c>
      <c r="I16" s="316">
        <f>H16*(1+I17)</f>
        <v>24288</v>
      </c>
      <c r="J16" s="316">
        <f t="shared" ref="J16:M16" si="4">I16*(1+J17)</f>
        <v>20644.8</v>
      </c>
      <c r="K16" s="316">
        <f t="shared" si="4"/>
        <v>19612.559999999998</v>
      </c>
      <c r="L16" s="316">
        <f t="shared" si="4"/>
        <v>19612.559999999998</v>
      </c>
      <c r="M16" s="316">
        <f t="shared" si="4"/>
        <v>19612.559999999998</v>
      </c>
    </row>
    <row r="17" spans="2:13" x14ac:dyDescent="0.2">
      <c r="B17" s="309" t="s">
        <v>246</v>
      </c>
      <c r="C17" s="338"/>
      <c r="E17" s="314"/>
      <c r="G17" s="314"/>
      <c r="H17" s="345">
        <v>-0.31</v>
      </c>
      <c r="I17" s="326">
        <v>-0.2</v>
      </c>
      <c r="J17" s="326">
        <v>-0.15</v>
      </c>
      <c r="K17" s="326">
        <v>-0.05</v>
      </c>
      <c r="L17" s="324">
        <f>0</f>
        <v>0</v>
      </c>
      <c r="M17" s="324">
        <f>0</f>
        <v>0</v>
      </c>
    </row>
    <row r="18" spans="2:13" x14ac:dyDescent="0.2">
      <c r="C18" s="338"/>
      <c r="E18" s="314"/>
      <c r="G18" s="314"/>
      <c r="H18" s="339"/>
    </row>
    <row r="19" spans="2:13" x14ac:dyDescent="0.2">
      <c r="B19" t="s">
        <v>255</v>
      </c>
      <c r="C19" s="338">
        <f>C22*0.1</f>
        <v>45100</v>
      </c>
      <c r="E19" s="314">
        <v>57200</v>
      </c>
      <c r="G19" s="314">
        <f t="shared" si="2"/>
        <v>112773.91304347827</v>
      </c>
      <c r="H19" s="339">
        <v>129690</v>
      </c>
      <c r="I19" s="323">
        <f>H19*(1+I20)</f>
        <v>149143.5</v>
      </c>
      <c r="J19" s="323">
        <f t="shared" ref="J19:M19" si="5">I19*(1+J20)</f>
        <v>171515.02499999999</v>
      </c>
      <c r="K19" s="323">
        <f t="shared" si="5"/>
        <v>188666.5275</v>
      </c>
      <c r="L19" s="323">
        <f t="shared" si="5"/>
        <v>203759.84970000002</v>
      </c>
      <c r="M19" s="323">
        <f t="shared" si="5"/>
        <v>215985.44068200004</v>
      </c>
    </row>
    <row r="20" spans="2:13" x14ac:dyDescent="0.2">
      <c r="B20" t="s">
        <v>246</v>
      </c>
      <c r="C20" s="338"/>
      <c r="G20" s="313"/>
      <c r="H20" s="347">
        <v>0.15</v>
      </c>
      <c r="I20" s="326">
        <v>0.15</v>
      </c>
      <c r="J20" s="326">
        <v>0.15</v>
      </c>
      <c r="K20" s="326">
        <v>0.1</v>
      </c>
      <c r="L20" s="324">
        <v>0.08</v>
      </c>
      <c r="M20" s="324">
        <v>0.06</v>
      </c>
    </row>
    <row r="21" spans="2:13" x14ac:dyDescent="0.2">
      <c r="C21" s="314"/>
      <c r="D21" s="313"/>
      <c r="E21" s="313"/>
      <c r="F21" s="313"/>
      <c r="G21" s="346"/>
      <c r="H21" s="339"/>
    </row>
    <row r="22" spans="2:13" x14ac:dyDescent="0.2">
      <c r="B22" s="310" t="s">
        <v>247</v>
      </c>
      <c r="C22" s="315">
        <v>451000</v>
      </c>
      <c r="D22" s="315">
        <v>578000</v>
      </c>
      <c r="E22" s="315">
        <v>712000</v>
      </c>
      <c r="F22" s="315">
        <v>936000</v>
      </c>
      <c r="G22" s="315">
        <f>SUM(G4,G7,G10,G10,G13,G16)</f>
        <v>1293000</v>
      </c>
      <c r="H22" s="321">
        <f>SUM(H4,H7,H10,H10,H13,H16)</f>
        <v>1438410</v>
      </c>
      <c r="I22" s="315">
        <f t="shared" ref="I22:K22" si="6">SUM(I4,I7,I10,I10,I13,I16)</f>
        <v>1634804.7999999998</v>
      </c>
      <c r="J22" s="315">
        <f t="shared" si="6"/>
        <v>1867576.3081600005</v>
      </c>
      <c r="K22" s="315">
        <f t="shared" si="6"/>
        <v>2130146.2012384003</v>
      </c>
      <c r="L22" s="315">
        <f>SUM(L4,L7,L10,L10,L13,L16)</f>
        <v>2427131.9897160162</v>
      </c>
      <c r="M22" s="315">
        <f>SUM(M4,M7,M10,M10,M13,M16)</f>
        <v>2760724.6122465185</v>
      </c>
    </row>
    <row r="24" spans="2:13" x14ac:dyDescent="0.2">
      <c r="B24" s="311" t="s">
        <v>0</v>
      </c>
      <c r="C24" s="140">
        <f>IS!C5</f>
        <v>13094</v>
      </c>
      <c r="D24" s="140">
        <f>IS!D5</f>
        <v>15451</v>
      </c>
      <c r="E24" s="140">
        <f>IS!E5</f>
        <v>17772</v>
      </c>
      <c r="F24" s="140">
        <f>IS!F5</f>
        <v>21454</v>
      </c>
      <c r="G24" s="140">
        <f>IS!G5</f>
        <v>25371</v>
      </c>
      <c r="H24" s="317">
        <f>IS!H5</f>
        <v>27518</v>
      </c>
      <c r="I24" s="320">
        <f>I22*I26/10000</f>
        <v>31275.198647395384</v>
      </c>
      <c r="J24" s="320">
        <f t="shared" ref="J24:M24" si="7">J22*J26/10000</f>
        <v>34421.011075946764</v>
      </c>
      <c r="K24" s="320">
        <f t="shared" si="7"/>
        <v>37769.293963074255</v>
      </c>
      <c r="L24" s="320">
        <f t="shared" si="7"/>
        <v>41336.110809725848</v>
      </c>
      <c r="M24" s="321">
        <f t="shared" si="7"/>
        <v>45084.968117014934</v>
      </c>
    </row>
    <row r="25" spans="2:13" x14ac:dyDescent="0.2">
      <c r="B25" s="327" t="s">
        <v>246</v>
      </c>
      <c r="C25" s="348"/>
      <c r="D25" s="348">
        <f t="shared" ref="C25:F25" si="8">(D24/C24)-1</f>
        <v>0.18000610966855057</v>
      </c>
      <c r="E25" s="348">
        <f t="shared" si="8"/>
        <v>0.15021681444566704</v>
      </c>
      <c r="F25" s="348">
        <f t="shared" si="8"/>
        <v>0.20717983344586988</v>
      </c>
      <c r="G25" s="348">
        <f>(G24/F24)-1</f>
        <v>0.18257667567819524</v>
      </c>
      <c r="H25" s="329">
        <f>(H24/G24)-1</f>
        <v>8.4624177210200546E-2</v>
      </c>
      <c r="I25" s="328">
        <f>(I24/H24)-1</f>
        <v>0.1365360363178787</v>
      </c>
      <c r="J25" s="328">
        <f t="shared" ref="J25:M25" si="9">(J24/I24)-1</f>
        <v>0.10058489041166707</v>
      </c>
      <c r="K25" s="328">
        <f t="shared" si="9"/>
        <v>9.7274390916054498E-2</v>
      </c>
      <c r="L25" s="328">
        <f t="shared" si="9"/>
        <v>9.4436947911675118E-2</v>
      </c>
      <c r="M25" s="329">
        <f t="shared" si="9"/>
        <v>9.0692066424571172E-2</v>
      </c>
    </row>
    <row r="26" spans="2:13" x14ac:dyDescent="0.2">
      <c r="B26" s="312" t="s">
        <v>249</v>
      </c>
      <c r="C26" s="318">
        <f t="shared" ref="C26" si="10">C24/C22 * 10000</f>
        <v>290.33259423503324</v>
      </c>
      <c r="D26" s="318">
        <f>D24/D22 * 10000</f>
        <v>267.31833910034601</v>
      </c>
      <c r="E26" s="318">
        <f>E24/E22 * 10000</f>
        <v>249.6067415730337</v>
      </c>
      <c r="F26" s="318">
        <f>F24/F22 * 10000</f>
        <v>229.20940170940173</v>
      </c>
      <c r="G26" s="318">
        <f>G24/G22 * 10000</f>
        <v>196.21809744779583</v>
      </c>
      <c r="H26" s="319">
        <f>H24/H22 * 10000</f>
        <v>191.30845864530974</v>
      </c>
      <c r="I26" s="342">
        <f>H26</f>
        <v>191.30845864530974</v>
      </c>
      <c r="J26" s="342">
        <f>I26-7</f>
        <v>184.30845864530974</v>
      </c>
      <c r="K26" s="342">
        <f>J26-7</f>
        <v>177.30845864530974</v>
      </c>
      <c r="L26" s="342">
        <f t="shared" ref="L26:M26" si="11">K26-7</f>
        <v>170.30845864530974</v>
      </c>
      <c r="M26" s="343">
        <f t="shared" si="11"/>
        <v>163.30845864530974</v>
      </c>
    </row>
    <row r="28" spans="2:13" x14ac:dyDescent="0.2"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</row>
  </sheetData>
  <pageMargins left="0.7" right="0.7" top="0.75" bottom="0.75" header="0.3" footer="0.3"/>
  <ignoredErrors>
    <ignoredError sqref="J7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A2D9-8BB4-3746-82C5-9DEE2CF5413E}">
  <dimension ref="B1:O45"/>
  <sheetViews>
    <sheetView showGridLines="0" workbookViewId="0">
      <selection activeCell="M19" sqref="M19"/>
    </sheetView>
  </sheetViews>
  <sheetFormatPr baseColWidth="10" defaultColWidth="11" defaultRowHeight="16" x14ac:dyDescent="0.2"/>
  <cols>
    <col min="1" max="1" width="4.33203125" customWidth="1"/>
    <col min="2" max="2" width="35" customWidth="1"/>
    <col min="3" max="5" width="10" bestFit="1" customWidth="1"/>
    <col min="6" max="6" width="11" bestFit="1" customWidth="1"/>
    <col min="7" max="7" width="10" bestFit="1" customWidth="1"/>
    <col min="8" max="8" width="13.6640625" customWidth="1"/>
  </cols>
  <sheetData>
    <row r="1" spans="2:15" ht="31" x14ac:dyDescent="0.35">
      <c r="B1" s="20" t="s">
        <v>45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2:15" x14ac:dyDescent="0.2">
      <c r="B2" s="19" t="s">
        <v>46</v>
      </c>
      <c r="C2" s="19" t="s">
        <v>47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5" x14ac:dyDescent="0.2">
      <c r="B3" s="1" t="s">
        <v>50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5" ht="20" customHeight="1" x14ac:dyDescent="0.2">
      <c r="C4" s="7">
        <v>2017</v>
      </c>
      <c r="D4" s="7">
        <f>C4+1</f>
        <v>2018</v>
      </c>
      <c r="E4" s="7">
        <f t="shared" ref="E4:G4" si="0">D4+1</f>
        <v>2019</v>
      </c>
      <c r="F4" s="7">
        <f t="shared" si="0"/>
        <v>2020</v>
      </c>
      <c r="G4" s="7">
        <f t="shared" si="0"/>
        <v>2021</v>
      </c>
      <c r="H4" s="16" t="s">
        <v>233</v>
      </c>
      <c r="I4" s="13">
        <v>2023</v>
      </c>
      <c r="J4" s="13">
        <f t="shared" ref="J4:M4" si="1">I4+1</f>
        <v>2024</v>
      </c>
      <c r="K4" s="13">
        <f t="shared" si="1"/>
        <v>2025</v>
      </c>
      <c r="L4" s="13">
        <f t="shared" si="1"/>
        <v>2026</v>
      </c>
      <c r="M4" s="13">
        <f t="shared" si="1"/>
        <v>2027</v>
      </c>
    </row>
    <row r="5" spans="2:15" ht="18" customHeight="1" x14ac:dyDescent="0.2">
      <c r="B5" s="10" t="s">
        <v>9</v>
      </c>
      <c r="C5" s="9">
        <f>IS!C32</f>
        <v>1795</v>
      </c>
      <c r="D5" s="9">
        <f>IS!D32</f>
        <v>2057</v>
      </c>
      <c r="E5" s="9">
        <f>IS!E32</f>
        <v>2459</v>
      </c>
      <c r="F5" s="9">
        <f>IS!F32</f>
        <v>4202</v>
      </c>
      <c r="G5" s="9">
        <f>IS!G32</f>
        <v>4169</v>
      </c>
      <c r="H5" s="9">
        <f>IS!H32</f>
        <v>2419</v>
      </c>
      <c r="I5">
        <f ca="1">IS!I32</f>
        <v>3557.9841350523866</v>
      </c>
      <c r="J5">
        <f ca="1">IS!J32</f>
        <v>4384.6316047957316</v>
      </c>
      <c r="K5">
        <f ca="1">IS!K32</f>
        <v>4860.5515101384908</v>
      </c>
      <c r="L5">
        <f ca="1">IS!L32</f>
        <v>5429.6629114705029</v>
      </c>
      <c r="M5">
        <f ca="1">IS!M32</f>
        <v>6073.6494917030786</v>
      </c>
    </row>
    <row r="6" spans="2:15" x14ac:dyDescent="0.2">
      <c r="B6" s="3" t="s">
        <v>228</v>
      </c>
      <c r="C6" s="4">
        <f>IS!C18</f>
        <v>805</v>
      </c>
      <c r="D6" s="4">
        <f>IS!D18</f>
        <v>776</v>
      </c>
      <c r="E6" s="4">
        <f>IS!E18</f>
        <v>912</v>
      </c>
      <c r="F6" s="4">
        <f>IS!F18</f>
        <v>1189</v>
      </c>
      <c r="G6" s="4">
        <f>IS!G18</f>
        <v>1265</v>
      </c>
      <c r="H6" s="11">
        <v>1317</v>
      </c>
      <c r="I6">
        <f ca="1">IS!I18</f>
        <v>1496.8179598306463</v>
      </c>
      <c r="J6">
        <f ca="1">IS!J18</f>
        <v>1647.3752302864268</v>
      </c>
      <c r="K6">
        <f ca="1">IS!K18</f>
        <v>1807.6226524227343</v>
      </c>
      <c r="L6">
        <f ca="1">IS!L18</f>
        <v>1978.3290186935442</v>
      </c>
      <c r="M6">
        <f ca="1">IS!M18</f>
        <v>2157.7477654665558</v>
      </c>
    </row>
    <row r="7" spans="2:15" x14ac:dyDescent="0.2">
      <c r="B7" s="3"/>
      <c r="C7" s="3"/>
      <c r="D7" s="3"/>
      <c r="E7" s="3"/>
      <c r="F7" s="3"/>
      <c r="G7" s="3"/>
      <c r="H7" s="12"/>
      <c r="O7" t="s">
        <v>231</v>
      </c>
    </row>
    <row r="8" spans="2:15" x14ac:dyDescent="0.2">
      <c r="B8" s="3" t="s">
        <v>13</v>
      </c>
      <c r="C8" s="4">
        <v>92</v>
      </c>
      <c r="D8" s="4">
        <v>244</v>
      </c>
      <c r="E8" s="4" t="s">
        <v>1</v>
      </c>
      <c r="F8" s="4" t="s">
        <v>1</v>
      </c>
      <c r="G8" s="4" t="s">
        <v>1</v>
      </c>
      <c r="H8" s="11" t="s">
        <v>1</v>
      </c>
      <c r="I8">
        <v>0</v>
      </c>
      <c r="J8">
        <v>0</v>
      </c>
      <c r="K8">
        <v>0</v>
      </c>
      <c r="L8">
        <v>0</v>
      </c>
      <c r="M8">
        <v>0</v>
      </c>
    </row>
    <row r="9" spans="2:15" x14ac:dyDescent="0.2">
      <c r="B9" s="3" t="s">
        <v>14</v>
      </c>
      <c r="C9" s="4" t="s">
        <v>1</v>
      </c>
      <c r="D9" s="4">
        <v>-87</v>
      </c>
      <c r="E9" s="4">
        <v>-208</v>
      </c>
      <c r="F9" s="4">
        <v>-1914</v>
      </c>
      <c r="G9" s="4">
        <v>-46</v>
      </c>
      <c r="H9" s="11">
        <v>304</v>
      </c>
    </row>
    <row r="10" spans="2:15" x14ac:dyDescent="0.2">
      <c r="B10" s="3" t="s">
        <v>15</v>
      </c>
      <c r="C10" s="4">
        <v>30</v>
      </c>
      <c r="D10" s="4" t="s">
        <v>1</v>
      </c>
      <c r="E10" s="4" t="s">
        <v>1</v>
      </c>
      <c r="F10" s="4" t="s">
        <v>1</v>
      </c>
      <c r="G10" s="4" t="s">
        <v>1</v>
      </c>
      <c r="H10" s="11" t="s">
        <v>1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2:15" x14ac:dyDescent="0.2">
      <c r="B11" s="3" t="s">
        <v>16</v>
      </c>
      <c r="C11" s="4">
        <v>733</v>
      </c>
      <c r="D11" s="4">
        <v>853</v>
      </c>
      <c r="E11" s="4">
        <v>1021</v>
      </c>
      <c r="F11" s="4">
        <v>1376</v>
      </c>
      <c r="G11" s="4">
        <v>1376</v>
      </c>
      <c r="H11" s="11">
        <v>1261</v>
      </c>
    </row>
    <row r="12" spans="2:15" x14ac:dyDescent="0.2">
      <c r="B12" s="3" t="s">
        <v>17</v>
      </c>
      <c r="C12" s="4">
        <v>-313</v>
      </c>
      <c r="D12" s="4">
        <v>1018</v>
      </c>
      <c r="E12" s="4">
        <v>962</v>
      </c>
      <c r="F12" s="4">
        <v>1953</v>
      </c>
      <c r="G12" s="4">
        <v>678</v>
      </c>
      <c r="H12" s="11">
        <v>1264</v>
      </c>
    </row>
    <row r="13" spans="2:15" x14ac:dyDescent="0.2">
      <c r="B13" s="3" t="s">
        <v>18</v>
      </c>
      <c r="C13" s="4">
        <v>12</v>
      </c>
      <c r="D13" s="4">
        <v>-59</v>
      </c>
      <c r="E13" s="4">
        <v>-120</v>
      </c>
      <c r="F13" s="4">
        <v>-100</v>
      </c>
      <c r="G13" s="4">
        <v>-222</v>
      </c>
      <c r="H13" s="11">
        <v>-156</v>
      </c>
      <c r="I13" s="137"/>
      <c r="J13" s="137"/>
      <c r="K13" s="137"/>
      <c r="L13" s="137"/>
      <c r="M13" s="137"/>
    </row>
    <row r="14" spans="2:15" x14ac:dyDescent="0.2">
      <c r="B14" s="3" t="s">
        <v>19</v>
      </c>
      <c r="C14" s="4">
        <v>62</v>
      </c>
      <c r="D14" s="4">
        <v>26</v>
      </c>
      <c r="E14" s="4">
        <v>4</v>
      </c>
      <c r="F14" s="4">
        <v>-4</v>
      </c>
      <c r="G14" s="4">
        <v>-31</v>
      </c>
      <c r="H14" s="11">
        <v>-36</v>
      </c>
    </row>
    <row r="15" spans="2:15" x14ac:dyDescent="0.2">
      <c r="B15" s="3" t="s">
        <v>20</v>
      </c>
      <c r="C15" s="4">
        <v>19</v>
      </c>
      <c r="D15" s="4">
        <v>-44</v>
      </c>
      <c r="E15" s="4">
        <v>-40</v>
      </c>
      <c r="F15" s="4">
        <v>-230</v>
      </c>
      <c r="G15" s="4">
        <v>73</v>
      </c>
      <c r="H15" s="11">
        <v>164</v>
      </c>
    </row>
    <row r="16" spans="2:15" x14ac:dyDescent="0.2">
      <c r="B16" s="3" t="s">
        <v>21</v>
      </c>
      <c r="C16" s="4">
        <v>-674</v>
      </c>
      <c r="D16" s="4">
        <v>696</v>
      </c>
      <c r="E16" s="4">
        <v>-919</v>
      </c>
      <c r="F16" s="4">
        <v>-618</v>
      </c>
      <c r="G16" s="4">
        <v>-922</v>
      </c>
      <c r="H16" s="11">
        <v>-171</v>
      </c>
    </row>
    <row r="17" spans="2:13" x14ac:dyDescent="0.2">
      <c r="B17" s="2" t="s">
        <v>22</v>
      </c>
      <c r="C17" s="5">
        <v>2531</v>
      </c>
      <c r="D17" s="5">
        <v>5480</v>
      </c>
      <c r="E17" s="5">
        <v>4071</v>
      </c>
      <c r="F17" s="5">
        <v>5854</v>
      </c>
      <c r="G17" s="5">
        <v>6340</v>
      </c>
      <c r="H17" s="14">
        <v>6419</v>
      </c>
    </row>
    <row r="18" spans="2:13" x14ac:dyDescent="0.2">
      <c r="B18" s="3"/>
      <c r="C18" s="3"/>
      <c r="D18" s="3"/>
      <c r="E18" s="3"/>
      <c r="F18" s="3"/>
      <c r="G18" s="3"/>
      <c r="H18" s="12"/>
    </row>
    <row r="19" spans="2:13" x14ac:dyDescent="0.2">
      <c r="B19" s="3" t="s">
        <v>23</v>
      </c>
      <c r="C19" s="4">
        <v>-667</v>
      </c>
      <c r="D19" s="4">
        <v>-823</v>
      </c>
      <c r="E19" s="4">
        <v>-704</v>
      </c>
      <c r="F19" s="4">
        <v>-866</v>
      </c>
      <c r="G19" s="4">
        <v>-908</v>
      </c>
      <c r="H19" s="11">
        <v>-706</v>
      </c>
      <c r="I19" s="244">
        <f ca="1">-'Metrics &amp; Drivers'!I71*IS!I5</f>
        <v>-875.70556212707083</v>
      </c>
      <c r="J19" s="244">
        <f ca="1">-'Metrics &amp; Drivers'!J71*IS!J5</f>
        <v>-929.36729905056279</v>
      </c>
      <c r="K19" s="244">
        <f ca="1">-'Metrics &amp; Drivers'!K71*IS!K5</f>
        <v>-982.00164303993074</v>
      </c>
      <c r="L19" s="244">
        <f ca="1">-'Metrics &amp; Drivers'!L71*IS!L5</f>
        <v>-1033.4027702431463</v>
      </c>
      <c r="M19" s="244">
        <f ca="1">-'Metrics &amp; Drivers'!M71*IS!M5</f>
        <v>-1127.1242029253738</v>
      </c>
    </row>
    <row r="20" spans="2:13" x14ac:dyDescent="0.2">
      <c r="B20" s="3" t="s">
        <v>24</v>
      </c>
      <c r="C20" s="4" t="s">
        <v>1</v>
      </c>
      <c r="D20" s="4">
        <v>3</v>
      </c>
      <c r="E20" s="4">
        <v>17</v>
      </c>
      <c r="F20" s="4">
        <v>120</v>
      </c>
      <c r="G20" s="4">
        <v>5</v>
      </c>
      <c r="H20" s="11">
        <v>5</v>
      </c>
    </row>
    <row r="21" spans="2:13" x14ac:dyDescent="0.2">
      <c r="B21" s="3" t="s">
        <v>25</v>
      </c>
      <c r="C21" s="4">
        <v>-323</v>
      </c>
      <c r="D21" s="4">
        <v>-2124</v>
      </c>
      <c r="E21" s="4">
        <v>-70</v>
      </c>
      <c r="F21" s="4">
        <v>-3609</v>
      </c>
      <c r="G21" s="4">
        <v>-2763</v>
      </c>
      <c r="H21" s="11">
        <v>0</v>
      </c>
    </row>
    <row r="22" spans="2:13" x14ac:dyDescent="0.2">
      <c r="B22" s="3" t="s">
        <v>26</v>
      </c>
      <c r="C22" s="4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11" t="s">
        <v>1</v>
      </c>
    </row>
    <row r="23" spans="2:13" x14ac:dyDescent="0.2">
      <c r="B23" s="3" t="s">
        <v>27</v>
      </c>
      <c r="C23" s="4">
        <v>-970</v>
      </c>
      <c r="D23" s="4">
        <v>-483</v>
      </c>
      <c r="E23" s="4">
        <v>-3003</v>
      </c>
      <c r="F23" s="4">
        <v>-10605</v>
      </c>
      <c r="G23" s="4">
        <v>-418</v>
      </c>
      <c r="H23" s="11">
        <v>412</v>
      </c>
    </row>
    <row r="24" spans="2:13" x14ac:dyDescent="0.2">
      <c r="B24" s="3" t="s">
        <v>28</v>
      </c>
      <c r="C24" s="4">
        <v>-920</v>
      </c>
      <c r="D24" s="4">
        <v>3121</v>
      </c>
      <c r="E24" s="4">
        <v>-1631</v>
      </c>
      <c r="F24" s="4">
        <v>294</v>
      </c>
      <c r="G24" s="4">
        <v>-1594</v>
      </c>
      <c r="H24" s="11">
        <v>-2954</v>
      </c>
    </row>
    <row r="25" spans="2:13" x14ac:dyDescent="0.2">
      <c r="B25" s="3" t="s">
        <v>29</v>
      </c>
      <c r="C25" s="4">
        <v>-1605</v>
      </c>
      <c r="D25" s="4">
        <v>1127</v>
      </c>
      <c r="E25" s="4">
        <v>-351</v>
      </c>
      <c r="F25" s="4">
        <v>-1552</v>
      </c>
      <c r="G25" s="4">
        <v>193</v>
      </c>
      <c r="H25" s="11">
        <v>-825</v>
      </c>
    </row>
    <row r="26" spans="2:13" x14ac:dyDescent="0.2">
      <c r="B26" s="2" t="s">
        <v>30</v>
      </c>
      <c r="C26" s="5">
        <v>-4485</v>
      </c>
      <c r="D26" s="5">
        <v>821</v>
      </c>
      <c r="E26" s="5">
        <v>-5742</v>
      </c>
      <c r="F26" s="5">
        <v>-16218</v>
      </c>
      <c r="G26" s="5">
        <v>-5485</v>
      </c>
      <c r="H26" s="14">
        <v>-6415</v>
      </c>
    </row>
    <row r="27" spans="2:13" x14ac:dyDescent="0.2">
      <c r="B27" s="3"/>
      <c r="C27" s="3"/>
      <c r="D27" s="3"/>
      <c r="E27" s="3"/>
      <c r="F27" s="3"/>
      <c r="G27" s="3"/>
      <c r="H27" s="12"/>
    </row>
    <row r="28" spans="2:13" x14ac:dyDescent="0.2">
      <c r="B28" s="3" t="s">
        <v>31</v>
      </c>
      <c r="C28" s="4" t="s">
        <v>1</v>
      </c>
      <c r="D28" s="4" t="s">
        <v>1</v>
      </c>
      <c r="E28" s="4" t="s">
        <v>1</v>
      </c>
      <c r="F28" s="4" t="s">
        <v>1</v>
      </c>
      <c r="G28" s="4" t="s">
        <v>1</v>
      </c>
      <c r="H28" s="11" t="s">
        <v>1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 x14ac:dyDescent="0.2">
      <c r="B29" s="3" t="s">
        <v>32</v>
      </c>
      <c r="C29" s="4">
        <v>1800</v>
      </c>
      <c r="D29" s="4">
        <v>2075</v>
      </c>
      <c r="E29" s="4">
        <v>5471</v>
      </c>
      <c r="F29" s="4">
        <v>6966</v>
      </c>
      <c r="G29" s="4">
        <v>272</v>
      </c>
      <c r="H29" s="11" t="s">
        <v>1</v>
      </c>
    </row>
    <row r="30" spans="2:13" x14ac:dyDescent="0.2">
      <c r="B30" s="2" t="s">
        <v>33</v>
      </c>
      <c r="C30" s="5">
        <v>1800</v>
      </c>
      <c r="D30" s="5">
        <v>2075</v>
      </c>
      <c r="E30" s="5">
        <v>5471</v>
      </c>
      <c r="F30" s="5">
        <v>6966</v>
      </c>
      <c r="G30" s="5">
        <v>272</v>
      </c>
      <c r="H30" s="14">
        <v>3618</v>
      </c>
    </row>
    <row r="31" spans="2:13" x14ac:dyDescent="0.2">
      <c r="B31" s="3" t="s">
        <v>34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11" t="s">
        <v>1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2:13" x14ac:dyDescent="0.2">
      <c r="B32" s="3" t="s">
        <v>35</v>
      </c>
      <c r="C32" s="4">
        <v>-980</v>
      </c>
      <c r="D32" s="4">
        <v>-1115</v>
      </c>
      <c r="E32" s="4">
        <v>-2516</v>
      </c>
      <c r="F32" s="4">
        <v>-3000</v>
      </c>
      <c r="G32" s="4">
        <v>-361</v>
      </c>
      <c r="H32" s="11" t="s">
        <v>1</v>
      </c>
    </row>
    <row r="33" spans="2:13" x14ac:dyDescent="0.2">
      <c r="B33" s="2" t="s">
        <v>36</v>
      </c>
      <c r="C33" s="5">
        <v>-980</v>
      </c>
      <c r="D33" s="5">
        <v>-1115</v>
      </c>
      <c r="E33" s="5">
        <v>-2516</v>
      </c>
      <c r="F33" s="5">
        <v>-3000</v>
      </c>
      <c r="G33" s="5">
        <v>-361</v>
      </c>
      <c r="H33" s="14">
        <v>-2047</v>
      </c>
    </row>
    <row r="34" spans="2:13" x14ac:dyDescent="0.2">
      <c r="B34" s="3"/>
      <c r="C34" s="3"/>
      <c r="D34" s="3"/>
      <c r="E34" s="3"/>
      <c r="F34" s="3"/>
      <c r="G34" s="3"/>
      <c r="H34" s="12"/>
    </row>
    <row r="35" spans="2:13" x14ac:dyDescent="0.2">
      <c r="B35" s="3" t="s">
        <v>37</v>
      </c>
      <c r="C35" s="4">
        <v>144</v>
      </c>
      <c r="D35" s="4">
        <v>144</v>
      </c>
      <c r="E35" s="4">
        <v>138</v>
      </c>
      <c r="F35" s="4">
        <v>137</v>
      </c>
      <c r="G35" s="4">
        <v>162</v>
      </c>
      <c r="H35" s="11">
        <v>158</v>
      </c>
    </row>
    <row r="36" spans="2:13" x14ac:dyDescent="0.2">
      <c r="B36" s="3" t="s">
        <v>38</v>
      </c>
      <c r="C36" s="4">
        <v>-1172</v>
      </c>
      <c r="D36" s="4">
        <v>-3939</v>
      </c>
      <c r="E36" s="4">
        <v>-1915</v>
      </c>
      <c r="F36" s="4">
        <v>-2156</v>
      </c>
      <c r="G36" s="4">
        <v>-4409</v>
      </c>
      <c r="H36" s="11">
        <v>-5068</v>
      </c>
    </row>
    <row r="37" spans="2:13" x14ac:dyDescent="0.2">
      <c r="B37" s="3"/>
      <c r="C37" s="3"/>
      <c r="D37" s="3"/>
      <c r="E37" s="3"/>
      <c r="F37" s="3"/>
      <c r="G37" s="3"/>
      <c r="H37" s="12"/>
    </row>
    <row r="38" spans="2:13" x14ac:dyDescent="0.2">
      <c r="B38" s="2" t="s">
        <v>39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14" t="s">
        <v>1</v>
      </c>
    </row>
    <row r="39" spans="2:13" x14ac:dyDescent="0.2">
      <c r="B39" s="3"/>
      <c r="C39" s="3"/>
      <c r="D39" s="3"/>
      <c r="E39" s="3"/>
      <c r="F39" s="3"/>
      <c r="G39" s="3"/>
      <c r="H39" s="12"/>
    </row>
    <row r="40" spans="2:13" x14ac:dyDescent="0.2">
      <c r="B40" s="3" t="s">
        <v>40</v>
      </c>
      <c r="C40" s="4" t="s">
        <v>1</v>
      </c>
      <c r="D40" s="4" t="s">
        <v>1</v>
      </c>
      <c r="E40" s="4" t="s">
        <v>1</v>
      </c>
      <c r="F40" s="4" t="s">
        <v>1</v>
      </c>
      <c r="G40" s="4" t="s">
        <v>1</v>
      </c>
      <c r="H40" s="11" t="s">
        <v>1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2:13" x14ac:dyDescent="0.2">
      <c r="B41" s="3" t="s">
        <v>41</v>
      </c>
      <c r="C41" s="4">
        <v>4292</v>
      </c>
      <c r="D41" s="4">
        <v>1595</v>
      </c>
      <c r="E41" s="4">
        <v>3009</v>
      </c>
      <c r="F41" s="4">
        <v>10545</v>
      </c>
      <c r="G41" s="4">
        <v>3572</v>
      </c>
      <c r="H41" s="11">
        <v>339</v>
      </c>
    </row>
    <row r="42" spans="2:13" x14ac:dyDescent="0.2">
      <c r="B42" s="2" t="s">
        <v>42</v>
      </c>
      <c r="C42" s="5">
        <v>4084</v>
      </c>
      <c r="D42" s="5">
        <v>-1240</v>
      </c>
      <c r="E42" s="5">
        <v>4187</v>
      </c>
      <c r="F42" s="5">
        <v>12492</v>
      </c>
      <c r="G42" s="5">
        <v>-764</v>
      </c>
      <c r="H42" s="14">
        <v>-3000</v>
      </c>
    </row>
    <row r="43" spans="2:13" x14ac:dyDescent="0.2">
      <c r="B43" s="3"/>
      <c r="C43" s="3"/>
      <c r="D43" s="3"/>
      <c r="E43" s="3"/>
      <c r="F43" s="3"/>
      <c r="G43" s="3"/>
      <c r="H43" s="12"/>
    </row>
    <row r="44" spans="2:13" x14ac:dyDescent="0.2">
      <c r="B44" s="3" t="s">
        <v>43</v>
      </c>
      <c r="C44" s="4">
        <v>36</v>
      </c>
      <c r="D44" s="4">
        <v>-113</v>
      </c>
      <c r="E44" s="4">
        <v>-6</v>
      </c>
      <c r="F44" s="4">
        <v>169</v>
      </c>
      <c r="G44" s="4">
        <v>-102</v>
      </c>
      <c r="H44" s="11">
        <v>-249</v>
      </c>
    </row>
    <row r="45" spans="2:13" x14ac:dyDescent="0.2">
      <c r="B45" s="2" t="s">
        <v>44</v>
      </c>
      <c r="C45" s="6">
        <v>2166</v>
      </c>
      <c r="D45" s="6">
        <v>4948</v>
      </c>
      <c r="E45" s="6">
        <v>2510</v>
      </c>
      <c r="F45" s="6">
        <v>2297</v>
      </c>
      <c r="G45" s="6">
        <v>-11</v>
      </c>
      <c r="H45" s="15">
        <v>-3245</v>
      </c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</vt:lpstr>
      <vt:lpstr>Metrics &amp; Drivers</vt:lpstr>
      <vt:lpstr>IS</vt:lpstr>
      <vt:lpstr>BS</vt:lpstr>
      <vt:lpstr>DCF</vt:lpstr>
      <vt:lpstr>WACC</vt:lpstr>
      <vt:lpstr>NWC</vt:lpstr>
      <vt:lpstr>Revenue</vt:lpstr>
      <vt:lpstr>Cash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Prame</dc:creator>
  <cp:keywords/>
  <dc:description/>
  <cp:lastModifiedBy>Matthew Prame</cp:lastModifiedBy>
  <cp:revision/>
  <cp:lastPrinted>2023-02-06T03:37:39Z</cp:lastPrinted>
  <dcterms:created xsi:type="dcterms:W3CDTF">2023-01-03T17:20:18Z</dcterms:created>
  <dcterms:modified xsi:type="dcterms:W3CDTF">2023-02-21T07:09:25Z</dcterms:modified>
  <cp:category/>
  <cp:contentStatus/>
</cp:coreProperties>
</file>