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donohoe\Downloads\"/>
    </mc:Choice>
  </mc:AlternateContent>
  <xr:revisionPtr revIDLastSave="0" documentId="8_{02DBCC2B-81A6-435E-B3F8-2F641F3909F3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Financial Statements -&gt;" sheetId="1" r:id="rId1"/>
    <sheet name="_CIQHiddenCacheSheet" sheetId="15" state="veryHidden" r:id="rId2"/>
    <sheet name="Cover" sheetId="2" r:id="rId3"/>
    <sheet name="Operating Build" sheetId="3" r:id="rId4"/>
    <sheet name="Revenue Build" sheetId="4" r:id="rId5"/>
    <sheet name="Schedules -&gt;" sheetId="5" state="hidden" r:id="rId6"/>
    <sheet name="Assumptions" sheetId="6" r:id="rId7"/>
    <sheet name="NWC" sheetId="8" r:id="rId8"/>
    <sheet name="Valuation -&gt;" sheetId="9" state="hidden" r:id="rId9"/>
    <sheet name="Comps" sheetId="10" r:id="rId10"/>
    <sheet name="DCF" sheetId="11" r:id="rId11"/>
    <sheet name="WACC" sheetId="12" r:id="rId12"/>
    <sheet name="Slide Page" sheetId="13" state="hidden" r:id="rId13"/>
  </sheets>
  <definedNames>
    <definedName name="CIQWBGuid" hidden="1">"0667172d-f117-4ea2-ad22-17c2e670aef7"</definedName>
    <definedName name="CIQWBInfo" hidden="1">"{ ""CIQVersion"":""9.49.2423.4439""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44873.0043287037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0" l="1"/>
  <c r="B18" i="10"/>
  <c r="B11" i="10"/>
  <c r="B12" i="10"/>
  <c r="B14" i="10"/>
  <c r="B15" i="10"/>
  <c r="B16" i="10"/>
  <c r="H14" i="13"/>
  <c r="G14" i="13"/>
  <c r="F14" i="13"/>
  <c r="E14" i="13"/>
  <c r="D14" i="13"/>
  <c r="H11" i="13"/>
  <c r="G11" i="13"/>
  <c r="F11" i="13"/>
  <c r="E11" i="13"/>
  <c r="D11" i="13"/>
  <c r="H10" i="13"/>
  <c r="G10" i="13"/>
  <c r="F10" i="13"/>
  <c r="E10" i="13"/>
  <c r="D10" i="13"/>
  <c r="H9" i="13"/>
  <c r="G9" i="13"/>
  <c r="F9" i="13"/>
  <c r="E9" i="13"/>
  <c r="D9" i="13"/>
  <c r="H8" i="13"/>
  <c r="G8" i="13"/>
  <c r="F8" i="13"/>
  <c r="E8" i="13"/>
  <c r="D8" i="13"/>
  <c r="H7" i="13"/>
  <c r="G7" i="13"/>
  <c r="F7" i="13"/>
  <c r="E7" i="13"/>
  <c r="D7" i="13"/>
  <c r="H14" i="12"/>
  <c r="H13" i="12"/>
  <c r="H12" i="12"/>
  <c r="D12" i="12"/>
  <c r="E19" i="12" s="1"/>
  <c r="H11" i="12"/>
  <c r="H7" i="12"/>
  <c r="H8" i="12" s="1"/>
  <c r="H63" i="11"/>
  <c r="G63" i="11"/>
  <c r="E63" i="11"/>
  <c r="D63" i="11"/>
  <c r="C59" i="11"/>
  <c r="C58" i="11"/>
  <c r="C56" i="11"/>
  <c r="C55" i="11"/>
  <c r="H54" i="11"/>
  <c r="G54" i="11"/>
  <c r="E54" i="11"/>
  <c r="D54" i="11"/>
  <c r="G22" i="11"/>
  <c r="H22" i="11" s="1"/>
  <c r="I22" i="11" s="1"/>
  <c r="J22" i="11" s="1"/>
  <c r="N13" i="11" s="1"/>
  <c r="R13" i="11" s="1"/>
  <c r="J17" i="11"/>
  <c r="I17" i="11"/>
  <c r="H17" i="11"/>
  <c r="G17" i="11"/>
  <c r="F17" i="11"/>
  <c r="N56" i="10"/>
  <c r="H56" i="10"/>
  <c r="N55" i="10"/>
  <c r="H55" i="10"/>
  <c r="N54" i="10"/>
  <c r="H54" i="10"/>
  <c r="N53" i="10"/>
  <c r="H53" i="10"/>
  <c r="N52" i="10"/>
  <c r="H52" i="10"/>
  <c r="P51" i="10"/>
  <c r="N51" i="10"/>
  <c r="J51" i="10"/>
  <c r="H51" i="10"/>
  <c r="D51" i="10"/>
  <c r="N30" i="11" s="1"/>
  <c r="R30" i="11" s="1"/>
  <c r="N50" i="10"/>
  <c r="H50" i="10"/>
  <c r="N49" i="10"/>
  <c r="H49" i="10"/>
  <c r="N48" i="10"/>
  <c r="H48" i="10"/>
  <c r="B43" i="10"/>
  <c r="B42" i="10"/>
  <c r="B41" i="10"/>
  <c r="B40" i="10"/>
  <c r="B39" i="10"/>
  <c r="B38" i="10"/>
  <c r="C6" i="10"/>
  <c r="I44" i="8"/>
  <c r="J44" i="8" s="1"/>
  <c r="K44" i="8" s="1"/>
  <c r="L44" i="8" s="1"/>
  <c r="M44" i="8" s="1"/>
  <c r="I43" i="8"/>
  <c r="J43" i="8" s="1"/>
  <c r="F38" i="8"/>
  <c r="H37" i="8"/>
  <c r="I37" i="8" s="1"/>
  <c r="F35" i="8"/>
  <c r="H34" i="8"/>
  <c r="I34" i="8" s="1"/>
  <c r="J34" i="8" s="1"/>
  <c r="J33" i="8"/>
  <c r="I33" i="8"/>
  <c r="G31" i="8"/>
  <c r="G30" i="8"/>
  <c r="H27" i="8"/>
  <c r="H31" i="8" s="1"/>
  <c r="I31" i="8" s="1"/>
  <c r="G27" i="8"/>
  <c r="G28" i="8" s="1"/>
  <c r="F27" i="8"/>
  <c r="F31" i="8" s="1"/>
  <c r="H26" i="8"/>
  <c r="H32" i="8" s="1"/>
  <c r="I32" i="8" s="1"/>
  <c r="G26" i="8"/>
  <c r="G39" i="8" s="1"/>
  <c r="F26" i="8"/>
  <c r="H20" i="8"/>
  <c r="G20" i="8"/>
  <c r="F18" i="8"/>
  <c r="F20" i="8" s="1"/>
  <c r="P12" i="8"/>
  <c r="H12" i="8"/>
  <c r="H22" i="8" s="1"/>
  <c r="H23" i="8" s="1"/>
  <c r="G12" i="8"/>
  <c r="G22" i="8" s="1"/>
  <c r="F12" i="8"/>
  <c r="F22" i="8" s="1"/>
  <c r="P11" i="8"/>
  <c r="P9" i="8"/>
  <c r="G4" i="8"/>
  <c r="H4" i="8" s="1"/>
  <c r="I4" i="8" s="1"/>
  <c r="J4" i="8" s="1"/>
  <c r="K4" i="8" s="1"/>
  <c r="L4" i="8" s="1"/>
  <c r="M4" i="8" s="1"/>
  <c r="H53" i="6"/>
  <c r="G53" i="6"/>
  <c r="F53" i="6"/>
  <c r="M51" i="6"/>
  <c r="L51" i="6"/>
  <c r="K51" i="6"/>
  <c r="K48" i="6" s="1"/>
  <c r="J51" i="6"/>
  <c r="I51" i="6"/>
  <c r="I48" i="6" s="1"/>
  <c r="M50" i="6"/>
  <c r="L50" i="6"/>
  <c r="K50" i="6"/>
  <c r="J50" i="6"/>
  <c r="I50" i="6"/>
  <c r="M49" i="6"/>
  <c r="L49" i="6"/>
  <c r="K49" i="6"/>
  <c r="J49" i="6"/>
  <c r="I49" i="6"/>
  <c r="M48" i="6"/>
  <c r="L48" i="6"/>
  <c r="J48" i="6"/>
  <c r="G48" i="6"/>
  <c r="F48" i="6"/>
  <c r="H47" i="6"/>
  <c r="H48" i="6" s="1"/>
  <c r="G47" i="6"/>
  <c r="F47" i="6"/>
  <c r="M45" i="6"/>
  <c r="L45" i="6"/>
  <c r="L42" i="6" s="1"/>
  <c r="K45" i="6"/>
  <c r="K42" i="6" s="1"/>
  <c r="J45" i="6"/>
  <c r="J42" i="6" s="1"/>
  <c r="I45" i="6"/>
  <c r="M44" i="6"/>
  <c r="L44" i="6"/>
  <c r="K44" i="6"/>
  <c r="J44" i="6"/>
  <c r="I44" i="6"/>
  <c r="M43" i="6"/>
  <c r="L43" i="6"/>
  <c r="K43" i="6"/>
  <c r="J43" i="6"/>
  <c r="I43" i="6"/>
  <c r="M42" i="6"/>
  <c r="I42" i="6"/>
  <c r="H42" i="6"/>
  <c r="G42" i="6"/>
  <c r="F42" i="6"/>
  <c r="H41" i="6"/>
  <c r="G41" i="6"/>
  <c r="F41" i="6"/>
  <c r="M39" i="6"/>
  <c r="M36" i="6" s="1"/>
  <c r="L39" i="6"/>
  <c r="L36" i="6" s="1"/>
  <c r="K39" i="6"/>
  <c r="K36" i="6" s="1"/>
  <c r="J39" i="6"/>
  <c r="I39" i="6"/>
  <c r="I36" i="6" s="1"/>
  <c r="M38" i="6"/>
  <c r="L38" i="6"/>
  <c r="K38" i="6"/>
  <c r="J38" i="6"/>
  <c r="I38" i="6"/>
  <c r="M37" i="6"/>
  <c r="L37" i="6"/>
  <c r="K37" i="6"/>
  <c r="J37" i="6"/>
  <c r="I37" i="6"/>
  <c r="J36" i="6"/>
  <c r="H36" i="6"/>
  <c r="G36" i="6"/>
  <c r="H35" i="6"/>
  <c r="G35" i="6"/>
  <c r="F35" i="6"/>
  <c r="F36" i="6" s="1"/>
  <c r="M33" i="6"/>
  <c r="M30" i="6" s="1"/>
  <c r="L33" i="6"/>
  <c r="L30" i="6" s="1"/>
  <c r="K33" i="6"/>
  <c r="J33" i="6"/>
  <c r="I33" i="6"/>
  <c r="M32" i="6"/>
  <c r="L32" i="6"/>
  <c r="K32" i="6"/>
  <c r="J32" i="6"/>
  <c r="I32" i="6"/>
  <c r="M31" i="6"/>
  <c r="L31" i="6"/>
  <c r="K31" i="6"/>
  <c r="J31" i="6"/>
  <c r="I31" i="6"/>
  <c r="K30" i="6"/>
  <c r="J30" i="6"/>
  <c r="I30" i="6"/>
  <c r="H30" i="6"/>
  <c r="H29" i="6"/>
  <c r="G29" i="6"/>
  <c r="G30" i="6" s="1"/>
  <c r="F29" i="6"/>
  <c r="F30" i="6" s="1"/>
  <c r="M27" i="6"/>
  <c r="M24" i="6" s="1"/>
  <c r="L27" i="6"/>
  <c r="K27" i="6"/>
  <c r="K24" i="6" s="1"/>
  <c r="J27" i="6"/>
  <c r="I27" i="6"/>
  <c r="I24" i="6" s="1"/>
  <c r="M26" i="6"/>
  <c r="L26" i="6"/>
  <c r="K26" i="6"/>
  <c r="J26" i="6"/>
  <c r="I26" i="6"/>
  <c r="M25" i="6"/>
  <c r="L25" i="6"/>
  <c r="K25" i="6"/>
  <c r="J25" i="6"/>
  <c r="I25" i="6"/>
  <c r="L24" i="6"/>
  <c r="J24" i="6"/>
  <c r="H23" i="6"/>
  <c r="H24" i="6" s="1"/>
  <c r="G23" i="6"/>
  <c r="G24" i="6" s="1"/>
  <c r="F23" i="6"/>
  <c r="F24" i="6" s="1"/>
  <c r="M21" i="6"/>
  <c r="L21" i="6"/>
  <c r="K21" i="6"/>
  <c r="M20" i="6"/>
  <c r="L20" i="6"/>
  <c r="K20" i="6"/>
  <c r="M19" i="6"/>
  <c r="L19" i="6"/>
  <c r="K19" i="6"/>
  <c r="M18" i="6"/>
  <c r="L18" i="6"/>
  <c r="K18" i="6"/>
  <c r="J18" i="6"/>
  <c r="I18" i="6"/>
  <c r="F18" i="6"/>
  <c r="H17" i="6"/>
  <c r="H18" i="6" s="1"/>
  <c r="G17" i="6"/>
  <c r="G18" i="6" s="1"/>
  <c r="F17" i="6"/>
  <c r="M15" i="6"/>
  <c r="L15" i="6"/>
  <c r="M14" i="6"/>
  <c r="L14" i="6"/>
  <c r="M13" i="6"/>
  <c r="L13" i="6"/>
  <c r="M12" i="6"/>
  <c r="L12" i="6"/>
  <c r="K12" i="6"/>
  <c r="J12" i="6"/>
  <c r="I12" i="6"/>
  <c r="H12" i="6"/>
  <c r="H11" i="6"/>
  <c r="G11" i="6"/>
  <c r="G12" i="6" s="1"/>
  <c r="F11" i="6"/>
  <c r="F12" i="6" s="1"/>
  <c r="P10" i="6"/>
  <c r="H9" i="6"/>
  <c r="H8" i="6"/>
  <c r="G8" i="6"/>
  <c r="G9" i="6" s="1"/>
  <c r="F8" i="6"/>
  <c r="K5" i="6"/>
  <c r="I5" i="6"/>
  <c r="J5" i="6" s="1"/>
  <c r="E3" i="13" s="1"/>
  <c r="G5" i="6"/>
  <c r="F5" i="6"/>
  <c r="M57" i="4"/>
  <c r="M54" i="4" s="1"/>
  <c r="L57" i="4"/>
  <c r="L54" i="4" s="1"/>
  <c r="K57" i="4"/>
  <c r="J57" i="4"/>
  <c r="I57" i="4"/>
  <c r="M56" i="4"/>
  <c r="L56" i="4"/>
  <c r="K56" i="4"/>
  <c r="J56" i="4"/>
  <c r="I56" i="4"/>
  <c r="K54" i="4"/>
  <c r="J54" i="4"/>
  <c r="I54" i="4"/>
  <c r="I53" i="4" s="1"/>
  <c r="H53" i="4"/>
  <c r="H54" i="4" s="1"/>
  <c r="G53" i="4"/>
  <c r="G54" i="4" s="1"/>
  <c r="F53" i="4"/>
  <c r="M51" i="4"/>
  <c r="I51" i="4"/>
  <c r="J51" i="4" s="1"/>
  <c r="K51" i="4" s="1"/>
  <c r="L51" i="4" s="1"/>
  <c r="G51" i="4"/>
  <c r="F51" i="4"/>
  <c r="I48" i="4"/>
  <c r="J48" i="4" s="1"/>
  <c r="K48" i="4" s="1"/>
  <c r="H48" i="4"/>
  <c r="G48" i="4"/>
  <c r="F48" i="4"/>
  <c r="M46" i="4"/>
  <c r="L46" i="4"/>
  <c r="L43" i="4" s="1"/>
  <c r="K46" i="4"/>
  <c r="K43" i="4" s="1"/>
  <c r="J46" i="4"/>
  <c r="J43" i="4" s="1"/>
  <c r="I46" i="4"/>
  <c r="I43" i="4" s="1"/>
  <c r="I42" i="4" s="1"/>
  <c r="M45" i="4"/>
  <c r="L45" i="4"/>
  <c r="K45" i="4"/>
  <c r="J45" i="4"/>
  <c r="I45" i="4"/>
  <c r="M43" i="4"/>
  <c r="H43" i="4"/>
  <c r="G43" i="4"/>
  <c r="H39" i="4"/>
  <c r="I39" i="4" s="1"/>
  <c r="J39" i="4" s="1"/>
  <c r="G39" i="4"/>
  <c r="F39" i="4"/>
  <c r="M37" i="4"/>
  <c r="L37" i="4"/>
  <c r="K37" i="4"/>
  <c r="K34" i="4" s="1"/>
  <c r="J37" i="4"/>
  <c r="J34" i="4" s="1"/>
  <c r="I37" i="4"/>
  <c r="I34" i="4" s="1"/>
  <c r="I33" i="4" s="1"/>
  <c r="M36" i="4"/>
  <c r="L36" i="4"/>
  <c r="K36" i="4"/>
  <c r="J36" i="4"/>
  <c r="I36" i="4"/>
  <c r="M34" i="4"/>
  <c r="L34" i="4"/>
  <c r="H34" i="4"/>
  <c r="G34" i="4"/>
  <c r="J31" i="4"/>
  <c r="K31" i="4" s="1"/>
  <c r="L31" i="4" s="1"/>
  <c r="M31" i="4" s="1"/>
  <c r="I31" i="4"/>
  <c r="G31" i="4"/>
  <c r="F31" i="4" s="1"/>
  <c r="H28" i="4"/>
  <c r="I28" i="4" s="1"/>
  <c r="J28" i="4" s="1"/>
  <c r="G28" i="4"/>
  <c r="F28" i="4"/>
  <c r="M26" i="4"/>
  <c r="L26" i="4"/>
  <c r="K26" i="4"/>
  <c r="J26" i="4"/>
  <c r="J23" i="4" s="1"/>
  <c r="I26" i="4"/>
  <c r="I23" i="4" s="1"/>
  <c r="I22" i="4" s="1"/>
  <c r="M25" i="4"/>
  <c r="L25" i="4"/>
  <c r="K25" i="4"/>
  <c r="J25" i="4"/>
  <c r="I25" i="4"/>
  <c r="M23" i="4"/>
  <c r="L23" i="4"/>
  <c r="K23" i="4"/>
  <c r="H23" i="4"/>
  <c r="G23" i="4"/>
  <c r="I19" i="4"/>
  <c r="H19" i="4"/>
  <c r="G19" i="4"/>
  <c r="F19" i="4"/>
  <c r="M17" i="4"/>
  <c r="M14" i="4" s="1"/>
  <c r="L17" i="4"/>
  <c r="K17" i="4"/>
  <c r="J17" i="4"/>
  <c r="I17" i="4"/>
  <c r="I14" i="4" s="1"/>
  <c r="I13" i="4" s="1"/>
  <c r="M16" i="4"/>
  <c r="L16" i="4"/>
  <c r="K16" i="4"/>
  <c r="J16" i="4"/>
  <c r="I16" i="4"/>
  <c r="L14" i="4"/>
  <c r="K14" i="4"/>
  <c r="J14" i="4"/>
  <c r="H14" i="4"/>
  <c r="G14" i="4"/>
  <c r="K11" i="4"/>
  <c r="L11" i="4" s="1"/>
  <c r="M11" i="4" s="1"/>
  <c r="J11" i="4"/>
  <c r="I11" i="4"/>
  <c r="G11" i="4"/>
  <c r="F11" i="4"/>
  <c r="H8" i="4"/>
  <c r="G8" i="4"/>
  <c r="G9" i="4" s="1"/>
  <c r="F8" i="4"/>
  <c r="K5" i="4"/>
  <c r="L5" i="4" s="1"/>
  <c r="M5" i="4" s="1"/>
  <c r="I5" i="4"/>
  <c r="J5" i="4" s="1"/>
  <c r="G5" i="4"/>
  <c r="F5" i="4" s="1"/>
  <c r="M31" i="3"/>
  <c r="H31" i="3"/>
  <c r="G31" i="3"/>
  <c r="G28" i="3"/>
  <c r="G26" i="3"/>
  <c r="H25" i="3"/>
  <c r="G25" i="3"/>
  <c r="F25" i="3"/>
  <c r="I22" i="3"/>
  <c r="J22" i="3" s="1"/>
  <c r="K22" i="3" s="1"/>
  <c r="L22" i="3" s="1"/>
  <c r="M22" i="3" s="1"/>
  <c r="F22" i="3"/>
  <c r="H16" i="3"/>
  <c r="H26" i="3" s="1"/>
  <c r="H28" i="3" s="1"/>
  <c r="G16" i="3"/>
  <c r="G20" i="3" s="1"/>
  <c r="G23" i="3" s="1"/>
  <c r="F16" i="3"/>
  <c r="F26" i="3" s="1"/>
  <c r="F28" i="3" s="1"/>
  <c r="I5" i="3"/>
  <c r="F4" i="11" s="1"/>
  <c r="H5" i="3"/>
  <c r="F5" i="3"/>
  <c r="F14" i="2"/>
  <c r="E29" i="10"/>
  <c r="G30" i="10"/>
  <c r="E30" i="10"/>
  <c r="J32" i="10"/>
  <c r="N11" i="10"/>
  <c r="O11" i="10"/>
  <c r="O12" i="10"/>
  <c r="I36" i="10"/>
  <c r="D52" i="10"/>
  <c r="F12" i="10"/>
  <c r="E14" i="10"/>
  <c r="O18" i="10"/>
  <c r="G31" i="10"/>
  <c r="M33" i="10"/>
  <c r="M12" i="10"/>
  <c r="N12" i="10"/>
  <c r="N13" i="10"/>
  <c r="O14" i="10"/>
  <c r="E13" i="10"/>
  <c r="O16" i="10"/>
  <c r="F31" i="10"/>
  <c r="H32" i="10"/>
  <c r="F15" i="10"/>
  <c r="K36" i="10"/>
  <c r="H31" i="10"/>
  <c r="G34" i="10"/>
  <c r="E15" i="10"/>
  <c r="L11" i="10"/>
  <c r="I31" i="10"/>
  <c r="I32" i="10"/>
  <c r="M11" i="10"/>
  <c r="L13" i="10"/>
  <c r="M13" i="10"/>
  <c r="M14" i="10"/>
  <c r="O13" i="10"/>
  <c r="N15" i="10"/>
  <c r="O15" i="10"/>
  <c r="N18" i="10"/>
  <c r="J33" i="10"/>
  <c r="J18" i="10"/>
  <c r="G32" i="10"/>
  <c r="G18" i="10"/>
  <c r="H29" i="10"/>
  <c r="K18" i="10"/>
  <c r="F32" i="10"/>
  <c r="G33" i="10"/>
  <c r="G14" i="10"/>
  <c r="F34" i="10"/>
  <c r="M36" i="10"/>
  <c r="G36" i="10"/>
  <c r="E33" i="10"/>
  <c r="F14" i="10"/>
  <c r="K32" i="10"/>
  <c r="K33" i="10"/>
  <c r="L12" i="10"/>
  <c r="K14" i="10"/>
  <c r="L14" i="10"/>
  <c r="L15" i="10"/>
  <c r="N14" i="10"/>
  <c r="M16" i="10"/>
  <c r="N16" i="10"/>
  <c r="O29" i="10"/>
  <c r="F16" i="2"/>
  <c r="J14" i="10"/>
  <c r="J16" i="10"/>
  <c r="L16" i="10"/>
  <c r="M29" i="10"/>
  <c r="J12" i="10"/>
  <c r="I30" i="10"/>
  <c r="O30" i="10"/>
  <c r="I33" i="10"/>
  <c r="J31" i="10"/>
  <c r="I34" i="10"/>
  <c r="F30" i="10"/>
  <c r="G12" i="10"/>
  <c r="C7" i="10"/>
  <c r="J36" i="10"/>
  <c r="G16" i="10"/>
  <c r="O34" i="10"/>
  <c r="K13" i="10"/>
  <c r="J15" i="10"/>
  <c r="K15" i="10"/>
  <c r="K16" i="10"/>
  <c r="M15" i="10"/>
  <c r="L18" i="10"/>
  <c r="M18" i="10"/>
  <c r="E31" i="10"/>
  <c r="K11" i="10"/>
  <c r="G29" i="10"/>
  <c r="K29" i="10"/>
  <c r="F18" i="10"/>
  <c r="I29" i="10"/>
  <c r="O36" i="10"/>
  <c r="E18" i="10"/>
  <c r="O31" i="10"/>
  <c r="G13" i="10"/>
  <c r="H36" i="10"/>
  <c r="E16" i="10"/>
  <c r="D54" i="10"/>
  <c r="F13" i="10"/>
  <c r="O33" i="10"/>
  <c r="E11" i="10"/>
  <c r="F11" i="10"/>
  <c r="E36" i="10"/>
  <c r="G15" i="10"/>
  <c r="F29" i="10"/>
  <c r="K31" i="10"/>
  <c r="J30" i="10"/>
  <c r="J29" i="10"/>
  <c r="E32" i="10"/>
  <c r="H33" i="10"/>
  <c r="K34" i="10"/>
  <c r="M34" i="10"/>
  <c r="J11" i="10"/>
  <c r="F16" i="10"/>
  <c r="H30" i="10"/>
  <c r="O32" i="10"/>
  <c r="M31" i="10"/>
  <c r="K30" i="10"/>
  <c r="M30" i="10"/>
  <c r="J34" i="10"/>
  <c r="E34" i="10"/>
  <c r="F33" i="10"/>
  <c r="M32" i="10"/>
  <c r="H34" i="10"/>
  <c r="F36" i="10"/>
  <c r="G11" i="10"/>
  <c r="E12" i="10"/>
  <c r="K12" i="10"/>
  <c r="J13" i="10"/>
  <c r="J13" i="4" l="1"/>
  <c r="K13" i="4" s="1"/>
  <c r="L13" i="4" s="1"/>
  <c r="M13" i="4" s="1"/>
  <c r="J33" i="4"/>
  <c r="K33" i="4" s="1"/>
  <c r="L33" i="4" s="1"/>
  <c r="M33" i="4" s="1"/>
  <c r="J42" i="4"/>
  <c r="K42" i="4" s="1"/>
  <c r="L42" i="4" s="1"/>
  <c r="M42" i="4" s="1"/>
  <c r="J53" i="4"/>
  <c r="K53" i="4" s="1"/>
  <c r="L53" i="4" s="1"/>
  <c r="M53" i="4" s="1"/>
  <c r="F25" i="10"/>
  <c r="F24" i="10"/>
  <c r="F23" i="10"/>
  <c r="F22" i="10"/>
  <c r="F21" i="10"/>
  <c r="F20" i="10"/>
  <c r="B31" i="10"/>
  <c r="E39" i="10"/>
  <c r="E40" i="10"/>
  <c r="E41" i="10"/>
  <c r="E42" i="10"/>
  <c r="E43" i="10"/>
  <c r="E38" i="10"/>
  <c r="L25" i="10"/>
  <c r="L24" i="10"/>
  <c r="L23" i="10"/>
  <c r="L22" i="10"/>
  <c r="L21" i="10"/>
  <c r="L20" i="10"/>
  <c r="J25" i="10"/>
  <c r="J24" i="10"/>
  <c r="J23" i="10"/>
  <c r="J22" i="10"/>
  <c r="J21" i="10"/>
  <c r="J20" i="10"/>
  <c r="B36" i="10"/>
  <c r="K25" i="10"/>
  <c r="K24" i="10"/>
  <c r="K23" i="10"/>
  <c r="K22" i="10"/>
  <c r="K21" i="10"/>
  <c r="K20" i="10"/>
  <c r="M25" i="10"/>
  <c r="M24" i="10"/>
  <c r="P48" i="10" s="1"/>
  <c r="M23" i="10"/>
  <c r="J48" i="10" s="1"/>
  <c r="M22" i="10"/>
  <c r="M21" i="10"/>
  <c r="D48" i="10" s="1"/>
  <c r="M20" i="10"/>
  <c r="F39" i="10"/>
  <c r="F40" i="10"/>
  <c r="F41" i="10"/>
  <c r="F42" i="10"/>
  <c r="F43" i="10"/>
  <c r="F38" i="10"/>
  <c r="N25" i="10"/>
  <c r="N24" i="10"/>
  <c r="N23" i="10"/>
  <c r="N22" i="10"/>
  <c r="N21" i="10"/>
  <c r="N20" i="10"/>
  <c r="G40" i="10"/>
  <c r="G41" i="10"/>
  <c r="G42" i="10"/>
  <c r="G43" i="10"/>
  <c r="G39" i="10"/>
  <c r="G38" i="10"/>
  <c r="D11" i="12"/>
  <c r="O25" i="10"/>
  <c r="O24" i="10"/>
  <c r="O23" i="10"/>
  <c r="O22" i="10"/>
  <c r="O21" i="10"/>
  <c r="O20" i="10"/>
  <c r="H40" i="10"/>
  <c r="H41" i="10"/>
  <c r="H42" i="10"/>
  <c r="H43" i="10"/>
  <c r="H38" i="10"/>
  <c r="H39" i="10"/>
  <c r="D49" i="10"/>
  <c r="N33" i="11"/>
  <c r="R33" i="11" s="1"/>
  <c r="J54" i="10"/>
  <c r="P54" i="10" s="1"/>
  <c r="D10" i="12"/>
  <c r="B29" i="10"/>
  <c r="I41" i="10"/>
  <c r="I42" i="10"/>
  <c r="I43" i="10"/>
  <c r="I38" i="10"/>
  <c r="I40" i="10"/>
  <c r="I39" i="10"/>
  <c r="E25" i="10"/>
  <c r="E24" i="10"/>
  <c r="E23" i="10"/>
  <c r="E22" i="10"/>
  <c r="E21" i="10"/>
  <c r="E20" i="10"/>
  <c r="B30" i="10"/>
  <c r="J41" i="10"/>
  <c r="J42" i="10"/>
  <c r="J43" i="10"/>
  <c r="J38" i="10"/>
  <c r="J39" i="10"/>
  <c r="J40" i="10"/>
  <c r="P52" i="10"/>
  <c r="J52" i="10"/>
  <c r="N31" i="11"/>
  <c r="R31" i="11" s="1"/>
  <c r="K42" i="10"/>
  <c r="K43" i="10"/>
  <c r="K38" i="10"/>
  <c r="K39" i="10"/>
  <c r="K41" i="10"/>
  <c r="K40" i="10"/>
  <c r="G25" i="10"/>
  <c r="G24" i="10"/>
  <c r="G23" i="10"/>
  <c r="G22" i="10"/>
  <c r="G21" i="10"/>
  <c r="G20" i="10"/>
  <c r="B32" i="10"/>
  <c r="M42" i="10"/>
  <c r="M43" i="10"/>
  <c r="M38" i="10"/>
  <c r="M39" i="10"/>
  <c r="M40" i="10"/>
  <c r="M41" i="10"/>
  <c r="B33" i="10"/>
  <c r="O43" i="10"/>
  <c r="O38" i="10"/>
  <c r="O39" i="10"/>
  <c r="O40" i="10"/>
  <c r="O41" i="10"/>
  <c r="O42" i="10"/>
  <c r="B34" i="10"/>
  <c r="J32" i="8"/>
  <c r="J22" i="4"/>
  <c r="K22" i="4" s="1"/>
  <c r="L22" i="4" s="1"/>
  <c r="M22" i="4" s="1"/>
  <c r="I29" i="4"/>
  <c r="I20" i="4"/>
  <c r="K34" i="8"/>
  <c r="G54" i="6"/>
  <c r="J40" i="4"/>
  <c r="K39" i="4"/>
  <c r="I40" i="4"/>
  <c r="L5" i="6"/>
  <c r="F3" i="13"/>
  <c r="J37" i="8"/>
  <c r="G23" i="8"/>
  <c r="J5" i="3"/>
  <c r="F20" i="3"/>
  <c r="F23" i="3" s="1"/>
  <c r="H20" i="3"/>
  <c r="H23" i="3" s="1"/>
  <c r="H9" i="4"/>
  <c r="F39" i="8"/>
  <c r="F36" i="8"/>
  <c r="F37" i="8"/>
  <c r="F34" i="8"/>
  <c r="F32" i="8"/>
  <c r="F30" i="8"/>
  <c r="K43" i="8"/>
  <c r="L48" i="4"/>
  <c r="J31" i="8"/>
  <c r="K28" i="4"/>
  <c r="K33" i="8"/>
  <c r="H36" i="8"/>
  <c r="I36" i="8" s="1"/>
  <c r="H39" i="8"/>
  <c r="I39" i="8" s="1"/>
  <c r="I49" i="4"/>
  <c r="H30" i="8"/>
  <c r="I30" i="8" s="1"/>
  <c r="G35" i="8"/>
  <c r="G38" i="8"/>
  <c r="H35" i="8"/>
  <c r="I35" i="8" s="1"/>
  <c r="H38" i="8"/>
  <c r="I38" i="8" s="1"/>
  <c r="D3" i="13"/>
  <c r="G32" i="8"/>
  <c r="J19" i="4"/>
  <c r="H28" i="8"/>
  <c r="G34" i="8"/>
  <c r="G37" i="8"/>
  <c r="G36" i="8"/>
  <c r="J49" i="4" l="1"/>
  <c r="K49" i="4"/>
  <c r="J29" i="4"/>
  <c r="I8" i="4"/>
  <c r="I9" i="4" s="1"/>
  <c r="D6" i="13" s="1"/>
  <c r="L43" i="8"/>
  <c r="J38" i="8"/>
  <c r="P49" i="10"/>
  <c r="P50" i="10" s="1"/>
  <c r="P53" i="10" s="1"/>
  <c r="P55" i="10" s="1"/>
  <c r="P56" i="10" s="1"/>
  <c r="J49" i="10"/>
  <c r="J50" i="10" s="1"/>
  <c r="J53" i="10" s="1"/>
  <c r="J55" i="10" s="1"/>
  <c r="J56" i="10" s="1"/>
  <c r="J35" i="8"/>
  <c r="K29" i="4"/>
  <c r="L28" i="4"/>
  <c r="E20" i="12"/>
  <c r="D50" i="10"/>
  <c r="D53" i="10" s="1"/>
  <c r="D55" i="10" s="1"/>
  <c r="D56" i="10" s="1"/>
  <c r="N10" i="11"/>
  <c r="F54" i="6"/>
  <c r="J30" i="8"/>
  <c r="K31" i="8"/>
  <c r="K37" i="8"/>
  <c r="K40" i="4"/>
  <c r="L39" i="4"/>
  <c r="M5" i="6"/>
  <c r="H3" i="13" s="1"/>
  <c r="G3" i="13"/>
  <c r="J39" i="8"/>
  <c r="J36" i="8"/>
  <c r="J20" i="4"/>
  <c r="K19" i="4"/>
  <c r="L33" i="8"/>
  <c r="L49" i="4"/>
  <c r="M48" i="4"/>
  <c r="M49" i="4" s="1"/>
  <c r="G4" i="11"/>
  <c r="K5" i="3"/>
  <c r="H54" i="6"/>
  <c r="L34" i="8"/>
  <c r="K32" i="8"/>
  <c r="J8" i="4" l="1"/>
  <c r="G7" i="11" s="1"/>
  <c r="F7" i="11"/>
  <c r="I8" i="3"/>
  <c r="I26" i="8" s="1"/>
  <c r="E21" i="12"/>
  <c r="F19" i="12" s="1"/>
  <c r="M43" i="8"/>
  <c r="M33" i="8"/>
  <c r="M28" i="4"/>
  <c r="M29" i="4" s="1"/>
  <c r="L29" i="4"/>
  <c r="L19" i="4"/>
  <c r="K20" i="4"/>
  <c r="K8" i="4" s="1"/>
  <c r="L40" i="4"/>
  <c r="M39" i="4"/>
  <c r="M40" i="4" s="1"/>
  <c r="L32" i="8"/>
  <c r="K36" i="8"/>
  <c r="L37" i="8"/>
  <c r="J56" i="6"/>
  <c r="I56" i="6"/>
  <c r="M57" i="6"/>
  <c r="M54" i="6" s="1"/>
  <c r="L57" i="6"/>
  <c r="L54" i="6" s="1"/>
  <c r="K57" i="6"/>
  <c r="K54" i="6" s="1"/>
  <c r="I55" i="6"/>
  <c r="J55" i="6" s="1"/>
  <c r="K55" i="6" s="1"/>
  <c r="L55" i="6" s="1"/>
  <c r="M55" i="6" s="1"/>
  <c r="J57" i="6"/>
  <c r="J54" i="6" s="1"/>
  <c r="I57" i="6"/>
  <c r="I54" i="6" s="1"/>
  <c r="L56" i="6"/>
  <c r="K56" i="6"/>
  <c r="M56" i="6"/>
  <c r="K35" i="8"/>
  <c r="M34" i="8"/>
  <c r="L31" i="8"/>
  <c r="K39" i="8"/>
  <c r="H4" i="11"/>
  <c r="L5" i="3"/>
  <c r="K30" i="8"/>
  <c r="K38" i="8"/>
  <c r="J8" i="3" l="1"/>
  <c r="J26" i="8" s="1"/>
  <c r="J9" i="4"/>
  <c r="E6" i="13" s="1"/>
  <c r="I8" i="6"/>
  <c r="I17" i="6" s="1"/>
  <c r="I10" i="3" s="1"/>
  <c r="F9" i="11" s="1"/>
  <c r="G19" i="12"/>
  <c r="H7" i="11"/>
  <c r="K9" i="4"/>
  <c r="F6" i="13" s="1"/>
  <c r="K8" i="3"/>
  <c r="M19" i="4"/>
  <c r="M20" i="4" s="1"/>
  <c r="M8" i="4" s="1"/>
  <c r="L20" i="4"/>
  <c r="L8" i="4" s="1"/>
  <c r="I7" i="8"/>
  <c r="I11" i="8"/>
  <c r="I17" i="8"/>
  <c r="I10" i="8"/>
  <c r="I14" i="8"/>
  <c r="I18" i="8"/>
  <c r="I8" i="8"/>
  <c r="I19" i="8"/>
  <c r="I16" i="8"/>
  <c r="I15" i="8"/>
  <c r="M37" i="8"/>
  <c r="L39" i="8"/>
  <c r="L36" i="8"/>
  <c r="L38" i="8"/>
  <c r="L35" i="8"/>
  <c r="F20" i="12"/>
  <c r="G20" i="12" s="1"/>
  <c r="I4" i="11"/>
  <c r="M5" i="3"/>
  <c r="J4" i="11" s="1"/>
  <c r="M31" i="8"/>
  <c r="L30" i="8"/>
  <c r="M32" i="8"/>
  <c r="J8" i="6" l="1"/>
  <c r="J29" i="6" s="1"/>
  <c r="J12" i="3" s="1"/>
  <c r="G11" i="11" s="1"/>
  <c r="G16" i="11" s="1"/>
  <c r="I47" i="6"/>
  <c r="I18" i="3" s="1"/>
  <c r="I35" i="6"/>
  <c r="I13" i="3" s="1"/>
  <c r="F12" i="11" s="1"/>
  <c r="I11" i="6"/>
  <c r="I9" i="3" s="1"/>
  <c r="F8" i="11" s="1"/>
  <c r="I23" i="6"/>
  <c r="I11" i="3" s="1"/>
  <c r="I25" i="3" s="1"/>
  <c r="F21" i="12"/>
  <c r="G21" i="12"/>
  <c r="H23" i="12" s="1"/>
  <c r="H13" i="13" s="1"/>
  <c r="I29" i="6"/>
  <c r="I12" i="3" s="1"/>
  <c r="F11" i="11" s="1"/>
  <c r="F16" i="11" s="1"/>
  <c r="I41" i="6"/>
  <c r="I17" i="3" s="1"/>
  <c r="I9" i="6"/>
  <c r="M35" i="8"/>
  <c r="J7" i="11"/>
  <c r="M9" i="4"/>
  <c r="H6" i="13" s="1"/>
  <c r="M8" i="3"/>
  <c r="M36" i="8"/>
  <c r="M39" i="8"/>
  <c r="M38" i="8"/>
  <c r="K26" i="8"/>
  <c r="K8" i="6"/>
  <c r="M30" i="8"/>
  <c r="I7" i="11"/>
  <c r="L8" i="3"/>
  <c r="L9" i="4"/>
  <c r="G6" i="13" s="1"/>
  <c r="J11" i="8"/>
  <c r="J7" i="8"/>
  <c r="J14" i="8"/>
  <c r="J10" i="8"/>
  <c r="J17" i="8"/>
  <c r="J15" i="8"/>
  <c r="J18" i="8"/>
  <c r="J16" i="8"/>
  <c r="J8" i="8"/>
  <c r="J19" i="8"/>
  <c r="F20" i="11" l="1"/>
  <c r="N5" i="11" s="1"/>
  <c r="N14" i="11" s="1"/>
  <c r="F13" i="13"/>
  <c r="G20" i="11"/>
  <c r="D13" i="13"/>
  <c r="H20" i="11"/>
  <c r="E13" i="13"/>
  <c r="I20" i="11"/>
  <c r="J17" i="6"/>
  <c r="J10" i="3" s="1"/>
  <c r="G9" i="11" s="1"/>
  <c r="J11" i="6"/>
  <c r="J9" i="3" s="1"/>
  <c r="J27" i="8" s="1"/>
  <c r="J9" i="8" s="1"/>
  <c r="J23" i="6"/>
  <c r="J11" i="3" s="1"/>
  <c r="G10" i="11" s="1"/>
  <c r="J41" i="6"/>
  <c r="J17" i="3" s="1"/>
  <c r="G13" i="13"/>
  <c r="J47" i="6"/>
  <c r="J18" i="3" s="1"/>
  <c r="J20" i="11"/>
  <c r="J35" i="6"/>
  <c r="J13" i="3" s="1"/>
  <c r="G12" i="11" s="1"/>
  <c r="J9" i="6"/>
  <c r="I27" i="8"/>
  <c r="I9" i="8" s="1"/>
  <c r="I28" i="8" s="1"/>
  <c r="I13" i="8" s="1"/>
  <c r="I20" i="8" s="1"/>
  <c r="F10" i="11"/>
  <c r="F13" i="11" s="1"/>
  <c r="I16" i="3"/>
  <c r="I26" i="3" s="1"/>
  <c r="I28" i="3" s="1"/>
  <c r="M26" i="8"/>
  <c r="M16" i="8" s="1"/>
  <c r="M8" i="6"/>
  <c r="L8" i="6"/>
  <c r="L26" i="8"/>
  <c r="K9" i="6"/>
  <c r="K29" i="6"/>
  <c r="K12" i="3" s="1"/>
  <c r="H11" i="11" s="1"/>
  <c r="H16" i="11" s="1"/>
  <c r="K11" i="6"/>
  <c r="K9" i="3" s="1"/>
  <c r="K47" i="6"/>
  <c r="K18" i="3" s="1"/>
  <c r="K41" i="6"/>
  <c r="K17" i="3" s="1"/>
  <c r="K17" i="6"/>
  <c r="K10" i="3" s="1"/>
  <c r="H9" i="11" s="1"/>
  <c r="K23" i="6"/>
  <c r="K11" i="3" s="1"/>
  <c r="K35" i="6"/>
  <c r="K13" i="3" s="1"/>
  <c r="H12" i="11" s="1"/>
  <c r="K14" i="8"/>
  <c r="K11" i="8"/>
  <c r="K7" i="8"/>
  <c r="K10" i="8"/>
  <c r="K17" i="8"/>
  <c r="K19" i="8"/>
  <c r="K16" i="8"/>
  <c r="K18" i="8"/>
  <c r="K8" i="8"/>
  <c r="K15" i="8"/>
  <c r="R5" i="11" l="1"/>
  <c r="J25" i="3"/>
  <c r="G8" i="11"/>
  <c r="G13" i="11" s="1"/>
  <c r="J16" i="3"/>
  <c r="J20" i="3" s="1"/>
  <c r="J28" i="8"/>
  <c r="J13" i="8" s="1"/>
  <c r="J20" i="8" s="1"/>
  <c r="I12" i="8"/>
  <c r="I22" i="8" s="1"/>
  <c r="I23" i="8" s="1"/>
  <c r="F18" i="11" s="1"/>
  <c r="I20" i="3"/>
  <c r="I53" i="6" s="1"/>
  <c r="I21" i="3" s="1"/>
  <c r="J12" i="8"/>
  <c r="M18" i="8"/>
  <c r="M15" i="8"/>
  <c r="M8" i="8"/>
  <c r="R14" i="11"/>
  <c r="M11" i="6"/>
  <c r="M9" i="3" s="1"/>
  <c r="M9" i="6"/>
  <c r="M17" i="6"/>
  <c r="M10" i="3" s="1"/>
  <c r="J9" i="11" s="1"/>
  <c r="M41" i="6"/>
  <c r="M17" i="3" s="1"/>
  <c r="M23" i="6"/>
  <c r="M11" i="3" s="1"/>
  <c r="M35" i="6"/>
  <c r="M13" i="3" s="1"/>
  <c r="J12" i="11" s="1"/>
  <c r="M29" i="6"/>
  <c r="M12" i="3" s="1"/>
  <c r="J11" i="11" s="1"/>
  <c r="J16" i="11" s="1"/>
  <c r="M47" i="6"/>
  <c r="M18" i="3" s="1"/>
  <c r="L14" i="8"/>
  <c r="L7" i="8"/>
  <c r="L11" i="8"/>
  <c r="L17" i="8"/>
  <c r="L10" i="8"/>
  <c r="L19" i="8"/>
  <c r="L15" i="8"/>
  <c r="L8" i="8"/>
  <c r="L18" i="8"/>
  <c r="L16" i="8"/>
  <c r="M7" i="8"/>
  <c r="M11" i="8"/>
  <c r="M14" i="8"/>
  <c r="M17" i="8"/>
  <c r="M10" i="8"/>
  <c r="L11" i="6"/>
  <c r="L9" i="3" s="1"/>
  <c r="L9" i="6"/>
  <c r="L23" i="6"/>
  <c r="L11" i="3" s="1"/>
  <c r="L17" i="6"/>
  <c r="L10" i="3" s="1"/>
  <c r="I9" i="11" s="1"/>
  <c r="L41" i="6"/>
  <c r="L17" i="3" s="1"/>
  <c r="L29" i="6"/>
  <c r="L12" i="3" s="1"/>
  <c r="I11" i="11" s="1"/>
  <c r="I16" i="11" s="1"/>
  <c r="L47" i="6"/>
  <c r="L18" i="3" s="1"/>
  <c r="L35" i="6"/>
  <c r="L13" i="3" s="1"/>
  <c r="I12" i="11" s="1"/>
  <c r="H10" i="11"/>
  <c r="K25" i="3"/>
  <c r="K27" i="8"/>
  <c r="K9" i="8" s="1"/>
  <c r="K28" i="8" s="1"/>
  <c r="K13" i="8" s="1"/>
  <c r="K20" i="8" s="1"/>
  <c r="H8" i="11"/>
  <c r="K16" i="3"/>
  <c r="M19" i="8"/>
  <c r="H13" i="11" l="1"/>
  <c r="J26" i="3"/>
  <c r="J28" i="3" s="1"/>
  <c r="J22" i="8"/>
  <c r="J23" i="8" s="1"/>
  <c r="G18" i="11" s="1"/>
  <c r="I31" i="3"/>
  <c r="L25" i="3"/>
  <c r="I10" i="11"/>
  <c r="L27" i="8"/>
  <c r="L9" i="8" s="1"/>
  <c r="L28" i="8" s="1"/>
  <c r="L13" i="8" s="1"/>
  <c r="L20" i="8" s="1"/>
  <c r="I8" i="11"/>
  <c r="L16" i="3"/>
  <c r="K20" i="3"/>
  <c r="K26" i="3"/>
  <c r="K28" i="3" s="1"/>
  <c r="M27" i="8"/>
  <c r="M9" i="8" s="1"/>
  <c r="M12" i="8" s="1"/>
  <c r="J8" i="11"/>
  <c r="M16" i="3"/>
  <c r="J10" i="11"/>
  <c r="M25" i="3"/>
  <c r="K12" i="8"/>
  <c r="K22" i="8" s="1"/>
  <c r="I23" i="3"/>
  <c r="J53" i="6"/>
  <c r="J21" i="3" s="1"/>
  <c r="J23" i="3" s="1"/>
  <c r="J31" i="3" l="1"/>
  <c r="K23" i="8"/>
  <c r="K31" i="3" s="1"/>
  <c r="J13" i="11"/>
  <c r="N9" i="11" s="1"/>
  <c r="N11" i="11" s="1"/>
  <c r="I13" i="11"/>
  <c r="L12" i="8"/>
  <c r="L22" i="8" s="1"/>
  <c r="L23" i="8" s="1"/>
  <c r="I18" i="11" s="1"/>
  <c r="M28" i="8"/>
  <c r="M13" i="8" s="1"/>
  <c r="M20" i="8" s="1"/>
  <c r="M22" i="8" s="1"/>
  <c r="K53" i="6"/>
  <c r="K21" i="3" s="1"/>
  <c r="K23" i="3" s="1"/>
  <c r="M20" i="3"/>
  <c r="M26" i="3"/>
  <c r="M28" i="3" s="1"/>
  <c r="L26" i="3"/>
  <c r="L28" i="3" s="1"/>
  <c r="L20" i="3"/>
  <c r="M23" i="8" l="1"/>
  <c r="J18" i="11" s="1"/>
  <c r="H18" i="11"/>
  <c r="L31" i="3"/>
  <c r="M53" i="6"/>
  <c r="M21" i="3" s="1"/>
  <c r="M23" i="3" s="1"/>
  <c r="L53" i="6"/>
  <c r="L21" i="3" s="1"/>
  <c r="N26" i="11"/>
  <c r="N15" i="11"/>
  <c r="N19" i="11" s="1"/>
  <c r="N6" i="11" l="1"/>
  <c r="G14" i="11" s="1"/>
  <c r="G15" i="11" s="1"/>
  <c r="G19" i="11" s="1"/>
  <c r="G21" i="11" s="1"/>
  <c r="E5" i="13" s="1"/>
  <c r="E12" i="13" s="1"/>
  <c r="L23" i="3"/>
  <c r="H14" i="11" l="1"/>
  <c r="H15" i="11" s="1"/>
  <c r="H19" i="11" s="1"/>
  <c r="H21" i="11" s="1"/>
  <c r="F5" i="13" s="1"/>
  <c r="F12" i="13" s="1"/>
  <c r="F14" i="11"/>
  <c r="F15" i="11" s="1"/>
  <c r="F19" i="11" s="1"/>
  <c r="F21" i="11" s="1"/>
  <c r="D5" i="13" s="1"/>
  <c r="D12" i="13" s="1"/>
  <c r="R6" i="11"/>
  <c r="I14" i="11"/>
  <c r="I15" i="11" s="1"/>
  <c r="I19" i="11" s="1"/>
  <c r="I21" i="11" s="1"/>
  <c r="G5" i="13" s="1"/>
  <c r="G12" i="13" s="1"/>
  <c r="J14" i="11"/>
  <c r="J15" i="11" s="1"/>
  <c r="J19" i="11" s="1"/>
  <c r="R9" i="11" s="1"/>
  <c r="R11" i="11" s="1"/>
  <c r="J21" i="11" l="1"/>
  <c r="H5" i="13" s="1"/>
  <c r="H12" i="13" s="1"/>
  <c r="R26" i="11"/>
  <c r="R15" i="11"/>
  <c r="R19" i="11" s="1"/>
  <c r="E24" i="11" l="1"/>
  <c r="R18" i="11" s="1"/>
  <c r="R20" i="11" s="1"/>
  <c r="R29" i="11" s="1"/>
  <c r="R32" i="11" s="1"/>
  <c r="R34" i="11" s="1"/>
  <c r="N18" i="11" l="1"/>
  <c r="N20" i="11" s="1"/>
  <c r="N29" i="11" s="1"/>
  <c r="N32" i="11" s="1"/>
  <c r="N34" i="11" s="1"/>
  <c r="C63" i="11"/>
  <c r="R39" i="11"/>
  <c r="R35" i="11"/>
  <c r="R23" i="11"/>
  <c r="R22" i="11"/>
  <c r="N23" i="11" l="1"/>
  <c r="N22" i="11"/>
  <c r="R24" i="11"/>
  <c r="C54" i="11"/>
  <c r="R38" i="11"/>
  <c r="R40" i="11" s="1"/>
  <c r="R41" i="11" s="1"/>
  <c r="N35" i="11"/>
  <c r="H11" i="10"/>
  <c r="I14" i="10"/>
  <c r="I11" i="10"/>
  <c r="H14" i="10"/>
  <c r="H15" i="10"/>
  <c r="P15" i="10"/>
  <c r="I15" i="10"/>
  <c r="H18" i="10"/>
  <c r="I13" i="10"/>
  <c r="I18" i="10"/>
  <c r="H13" i="10"/>
  <c r="P14" i="10"/>
  <c r="P11" i="10"/>
  <c r="P16" i="10"/>
  <c r="H16" i="10"/>
  <c r="P13" i="10"/>
  <c r="I16" i="10"/>
  <c r="P12" i="10"/>
  <c r="H12" i="10"/>
  <c r="I12" i="10"/>
  <c r="P18" i="10"/>
  <c r="N24" i="11" l="1"/>
  <c r="I22" i="10"/>
  <c r="I25" i="10"/>
  <c r="I21" i="10"/>
  <c r="I20" i="10"/>
  <c r="I24" i="10"/>
  <c r="I23" i="10"/>
  <c r="H20" i="10"/>
  <c r="H23" i="10"/>
  <c r="H22" i="10"/>
  <c r="H21" i="10"/>
  <c r="H24" i="10"/>
  <c r="H25" i="10"/>
  <c r="P23" i="10"/>
  <c r="P20" i="10"/>
  <c r="P21" i="10"/>
  <c r="P25" i="10"/>
  <c r="P22" i="10"/>
  <c r="P2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6" authorId="0" shapeId="0" xr:uid="{00000000-0006-0000-0B00-000001000000}">
      <text>
        <r>
          <rPr>
            <sz val="11"/>
            <color theme="1"/>
            <rFont val="Calibri"/>
            <scheme val="minor"/>
          </rPr>
          <t>Includes debt premium for Fed Funds Rate hikes.
	-Brant Hadzima</t>
        </r>
      </text>
    </comment>
  </commentList>
</comments>
</file>

<file path=xl/sharedStrings.xml><?xml version="1.0" encoding="utf-8"?>
<sst xmlns="http://schemas.openxmlformats.org/spreadsheetml/2006/main" count="379" uniqueCount="230">
  <si>
    <t>SBUX Model</t>
  </si>
  <si>
    <t>Date</t>
  </si>
  <si>
    <t>Share Price</t>
  </si>
  <si>
    <t>Case</t>
  </si>
  <si>
    <t>Starbucks Operating Build</t>
  </si>
  <si>
    <t>For Fiscal Year Ending</t>
  </si>
  <si>
    <t>($ in millions, unless otherwise noted)</t>
  </si>
  <si>
    <t>Total Revenue</t>
  </si>
  <si>
    <t>Product and Distribution Costs</t>
  </si>
  <si>
    <t>Store Operating Expenses</t>
  </si>
  <si>
    <t>Other Operating Expenses</t>
  </si>
  <si>
    <t>Depreciation and Amortization Expenses</t>
  </si>
  <si>
    <t>General And Adminstrative Expenses</t>
  </si>
  <si>
    <t>Restructuring and Impairments</t>
  </si>
  <si>
    <t>Income From Equity Investees</t>
  </si>
  <si>
    <t>Operating Income</t>
  </si>
  <si>
    <t>Interest Expense</t>
  </si>
  <si>
    <t>Interest &amp; Investment Income</t>
  </si>
  <si>
    <t>Net Gain Resulting from Diverstiture of Certain Operations</t>
  </si>
  <si>
    <t>Pretax Profit</t>
  </si>
  <si>
    <t>Provision For Income Tax</t>
  </si>
  <si>
    <t>Minority Interest</t>
  </si>
  <si>
    <t>Net Income</t>
  </si>
  <si>
    <t>D&amp;A Expense</t>
  </si>
  <si>
    <t>EBITDA</t>
  </si>
  <si>
    <t>Historical One-Time Expense</t>
  </si>
  <si>
    <t>Adjusted EBITDA</t>
  </si>
  <si>
    <t>Capital Expenditures</t>
  </si>
  <si>
    <t>Change in Net Working Capital</t>
  </si>
  <si>
    <t>Revenue Build</t>
  </si>
  <si>
    <t>Commentary</t>
  </si>
  <si>
    <t>% growth</t>
  </si>
  <si>
    <t>Company Owned Stores</t>
  </si>
  <si>
    <t>Number of North American Stores</t>
  </si>
  <si>
    <t>Base</t>
  </si>
  <si>
    <t xml:space="preserve">Bull </t>
  </si>
  <si>
    <t>Bear</t>
  </si>
  <si>
    <t>Step</t>
  </si>
  <si>
    <t>Average Revenue per Store</t>
  </si>
  <si>
    <t>Total North American Company Owned Stores Revenue</t>
  </si>
  <si>
    <t>Number of International Stores</t>
  </si>
  <si>
    <t>Total International Company Owned Stores Revenue</t>
  </si>
  <si>
    <t>Franchised Stores</t>
  </si>
  <si>
    <t>Total North American Franchised Stores Revenue</t>
  </si>
  <si>
    <t>Total International Franchised Stores Revenue</t>
  </si>
  <si>
    <t>Other Revenue</t>
  </si>
  <si>
    <t>Assumptions</t>
  </si>
  <si>
    <t>Product &amp; Distribution Costs</t>
  </si>
  <si>
    <t>% of revenue</t>
  </si>
  <si>
    <t>Bull</t>
  </si>
  <si>
    <t>Depreciation &amp; Amortization Expenses</t>
  </si>
  <si>
    <t>General &amp; Administrative Expenses</t>
  </si>
  <si>
    <t>Provisions for Income Tax</t>
  </si>
  <si>
    <t>% effective tax rate</t>
  </si>
  <si>
    <t>Net Working Capital</t>
  </si>
  <si>
    <t>For Fiscal Year</t>
  </si>
  <si>
    <t>Short-term investments</t>
  </si>
  <si>
    <t>Total Current Assets</t>
  </si>
  <si>
    <t>Accrued payroll and benefits</t>
  </si>
  <si>
    <t>Current portion of operating lease liability</t>
  </si>
  <si>
    <t>Stored value card liability and current portion of deferred revenue</t>
  </si>
  <si>
    <t>buried income taxes payable under short-term debt</t>
  </si>
  <si>
    <t>Short-term debt</t>
  </si>
  <si>
    <t>Current portion of long-term debt</t>
  </si>
  <si>
    <t>Change</t>
  </si>
  <si>
    <t>Drivers</t>
  </si>
  <si>
    <t>Revenue</t>
  </si>
  <si>
    <t>Cost of goods sold</t>
  </si>
  <si>
    <t>Inventory purchases</t>
  </si>
  <si>
    <t>Short-term investments as a % of revenue</t>
  </si>
  <si>
    <t>Inventory as a % of COGS</t>
  </si>
  <si>
    <t>Prepaid expense as a % of revenue</t>
  </si>
  <si>
    <t>Other current assets as a % of revenue</t>
  </si>
  <si>
    <t>Accrued expense as a % of revenue</t>
  </si>
  <si>
    <t>Accrued payroll and benefits as a % of revenue</t>
  </si>
  <si>
    <t>Current portion of operating lease liability as a % of revenue</t>
  </si>
  <si>
    <t>Stored value care liability and current portion of deferred revenue as a % of revenue</t>
  </si>
  <si>
    <t>Short-term debt as a % of revenue</t>
  </si>
  <si>
    <t>Working Capital Schedule</t>
  </si>
  <si>
    <t>Days Outstanding</t>
  </si>
  <si>
    <t>Days Sales Outstanding</t>
  </si>
  <si>
    <t>Days Payable Outstanding</t>
  </si>
  <si>
    <t>Comparable Companies Valuation</t>
  </si>
  <si>
    <t>($ in millions, except per share data)</t>
  </si>
  <si>
    <t>Date:</t>
  </si>
  <si>
    <t>Share Price:</t>
  </si>
  <si>
    <t>Valuation Metrics</t>
  </si>
  <si>
    <t>% of Enterprise Value</t>
  </si>
  <si>
    <t>EV/Revenue</t>
  </si>
  <si>
    <t>EV/EBITDA</t>
  </si>
  <si>
    <t>P/E</t>
  </si>
  <si>
    <t>Net Leverage</t>
  </si>
  <si>
    <t>Company Name</t>
  </si>
  <si>
    <t>Market Cap</t>
  </si>
  <si>
    <t>EV</t>
  </si>
  <si>
    <t>Debt</t>
  </si>
  <si>
    <t>Equity</t>
  </si>
  <si>
    <t>LTM</t>
  </si>
  <si>
    <t>NTM</t>
  </si>
  <si>
    <t>MCD</t>
  </si>
  <si>
    <t>YUM</t>
  </si>
  <si>
    <t>CMG</t>
  </si>
  <si>
    <t>QSR</t>
  </si>
  <si>
    <t>DPZ</t>
  </si>
  <si>
    <t>WEN</t>
  </si>
  <si>
    <t>SBUX</t>
  </si>
  <si>
    <t>Minimum</t>
  </si>
  <si>
    <t>25th Percentile</t>
  </si>
  <si>
    <t>Mean</t>
  </si>
  <si>
    <t>Median</t>
  </si>
  <si>
    <t>75th Percentile</t>
  </si>
  <si>
    <t>Maximum</t>
  </si>
  <si>
    <t>Operating Metrics</t>
  </si>
  <si>
    <t>Unlevered FCF</t>
  </si>
  <si>
    <t>Margins</t>
  </si>
  <si>
    <t>Gross</t>
  </si>
  <si>
    <t>Starbucks Corporation Valuation</t>
  </si>
  <si>
    <t>Case 1: 25th Percentile</t>
  </si>
  <si>
    <t>Case 2: Median</t>
  </si>
  <si>
    <t>Case 3: 75th Percentile</t>
  </si>
  <si>
    <t>Implied Multiple</t>
  </si>
  <si>
    <t>NTM EBITDA</t>
  </si>
  <si>
    <t>Enterprise Value</t>
  </si>
  <si>
    <t xml:space="preserve">     Less: Debt</t>
  </si>
  <si>
    <t xml:space="preserve">     Plus: Cash</t>
  </si>
  <si>
    <t>Equity Value</t>
  </si>
  <si>
    <t>Diluted Shares Outstanding</t>
  </si>
  <si>
    <t>Implied Share Price</t>
  </si>
  <si>
    <t>Upside / Downside</t>
  </si>
  <si>
    <t>Exit Multiple Method</t>
  </si>
  <si>
    <t>Perpetuity Growth Rate Method</t>
  </si>
  <si>
    <t>Discount Rate</t>
  </si>
  <si>
    <t>Tax Rate</t>
  </si>
  <si>
    <t>Terminal Value Assumptions</t>
  </si>
  <si>
    <t>Terminal EBITDA (2027E)</t>
  </si>
  <si>
    <t>FCF 2026P</t>
  </si>
  <si>
    <t>Terminal Multiple</t>
  </si>
  <si>
    <t>Terminal Growth Rate</t>
  </si>
  <si>
    <t>Terminal Value</t>
  </si>
  <si>
    <t>EBIT</t>
  </si>
  <si>
    <t>Discount Period</t>
  </si>
  <si>
    <t>Taxes</t>
  </si>
  <si>
    <t>Discount Factor</t>
  </si>
  <si>
    <t>NOPAT</t>
  </si>
  <si>
    <t>PV of Terminal Value</t>
  </si>
  <si>
    <t>CapEx</t>
  </si>
  <si>
    <t>Distribution of Value</t>
  </si>
  <si>
    <t>Change in NWC</t>
  </si>
  <si>
    <t>PV of Period Cash Flow</t>
  </si>
  <si>
    <t>Unlevered Free Cash Flow</t>
  </si>
  <si>
    <t>WACC</t>
  </si>
  <si>
    <t>Total</t>
  </si>
  <si>
    <t>Present Value of FCF</t>
  </si>
  <si>
    <t>Period Cash Flow</t>
  </si>
  <si>
    <t>Terminal Cash Flow</t>
  </si>
  <si>
    <t>Sum of Discounted Cash Flows</t>
  </si>
  <si>
    <t>Implied PGR</t>
  </si>
  <si>
    <t>Implied Exit Multiple</t>
  </si>
  <si>
    <t>Share Value Multiple Method</t>
  </si>
  <si>
    <t>Share Value Perpetuity Growth Method</t>
  </si>
  <si>
    <t>Total Enterprise Value</t>
  </si>
  <si>
    <t>(-) Debt</t>
  </si>
  <si>
    <t>(+) Cash</t>
  </si>
  <si>
    <t>Share Outstanding</t>
  </si>
  <si>
    <t xml:space="preserve">Share Price </t>
  </si>
  <si>
    <t>Blended Implied Share Price</t>
  </si>
  <si>
    <t>Multiple Method</t>
  </si>
  <si>
    <t>Perpetuity Growth Method</t>
  </si>
  <si>
    <t>Sensitivity Analysis: Exit Multiple Share Price</t>
  </si>
  <si>
    <t>Sensitivity Analysis: Perpetuity Growth Share Price</t>
  </si>
  <si>
    <t>Inputs</t>
  </si>
  <si>
    <t>Cost of Debt Calculation</t>
  </si>
  <si>
    <t>Risk-Free Rate</t>
  </si>
  <si>
    <t>Pre-Tax Cost of Debt</t>
  </si>
  <si>
    <t>Equity Risk Premium</t>
  </si>
  <si>
    <t>Corporate Tax Rate</t>
  </si>
  <si>
    <t>Beta</t>
  </si>
  <si>
    <t>After-Tax Cost of Debt</t>
  </si>
  <si>
    <t>Common Shares</t>
  </si>
  <si>
    <t>Cost of Equity Calculation</t>
  </si>
  <si>
    <t>Market Value of Debt</t>
  </si>
  <si>
    <t>Cost of Equity</t>
  </si>
  <si>
    <t>WACC Calculation</t>
  </si>
  <si>
    <t>Amount</t>
  </si>
  <si>
    <t>% of Total</t>
  </si>
  <si>
    <t>Cost of Capital</t>
  </si>
  <si>
    <t>Market Value of Equity</t>
  </si>
  <si>
    <t>Weighted Average Cost of Capital</t>
  </si>
  <si>
    <t>($ in millions unless otherwise noted)</t>
  </si>
  <si>
    <t>% margin</t>
  </si>
  <si>
    <t>#ERROR!</t>
  </si>
  <si>
    <r>
      <t>Discounted Cash Flow Anal</t>
    </r>
    <r>
      <rPr>
        <b/>
        <sz val="17.100000000000001"/>
        <color theme="1"/>
        <rFont val="Garamond"/>
        <family val="1"/>
      </rPr>
      <t>y</t>
    </r>
    <r>
      <rPr>
        <b/>
        <sz val="18"/>
        <color theme="1"/>
        <rFont val="Garamond"/>
      </rPr>
      <t>sis</t>
    </r>
  </si>
  <si>
    <t>BAABTAVMT0NBTAFI/////wFQlQAAAB9DSVEuWVVNLklRX01BUktFVENBUC4zLzI3LzIwMjMuAQAAAK2VBQACAAAADDM1OTM1LjAzNzc0NAEGAAAABQAAAAExAQAAAAstMjA1OTM4MDI2NgMAAAADMTYwAgAAAAYxMDAwNTQEAAAAATAHAAAACTMvMjcvMjAyM9XRPngQL9sIAshf9RUv2wgjQ0lRLlFTUi5JUV9DTE9TRVBSSUNFLjMvMjcvMjAyMy5VU0QBAAAAjYgMAAIAAAAFNjMuMjIA1dE+eBAv2wgCyF/1FS/bCCNDSVEuQ01HLklRX0NMT1NFUFJJQ0UuMy8yNy8yMDIzLlVTRAEAAABOZwAAAgAAAAcxNjQ3LjgyANXRPngQL9sIAshf9RUv2wgfQ0lRLkRQWi5JUV9NQVJLRVRDQVAuMy8yNy8yMDIzLgEAAABgzC8AAgAAAAwxMTQxMy41Mjk5MDgBBgAAAAUAAAABMQEAAAALLTIwNTk5NDY2NDkDAAAAAzE2MAIAAAAGMTAwMDU0BAAAAAEwBwAAAAkzLzI3LzIwMjPV0T54EC/bCALIX/UVL9sII0NJUS5EUFouSVFfQ0xPU0VQUklDRS4zLzI3LzIwMjMuVVNEAQAAAGDMLwACAAAABjMyMi4yMgDV0T54EC/bCALIX/UVL9sIHUNJUS5TQlVYLklRX1RFVi4zLzI3LzIwMjMuVVNEAQAAALmHAAACAAAACjEzMzk2MC4zMzgBBgAAAAUAAAABMQEAAAALLTIwNjI0NzU2MTIDAAAAAzE2MAIAAAAGMTAwMDYwBAAAAAEwBwAAAAkzLzI3LzIwMjPV0T54EC/bCALIX/UVL9sIHENJUS5RU1IuSVFfVEVWLjMvMjcvMjAyMy5VU0QB</t>
  </si>
  <si>
    <t>AAAAjYgMAAIAAAAMMzQ2NDEuNzI4MjkzAQYAAAAFAAAAATEBAAAACy0yMDU5ODg2NjMzAwAAAAMxNjACAAAABjEwMDA2MAQAAAABMAcAAAAJMy8yNy8yMDIz1dE+eBAv2wgCyF/1FS/bCB9DSVEuUVNSLklRX01BUktFVENBUC4zLzI3LzIwMjMuAQAAAI2IDAACAAAADDE5NjA5LjcyODI5MwEGAAAABQAAAAExAQAAAAstMjA1OTg4NjYzMwMAAAADMTYwAgAAAAYxMDAwNTQEAAAAATAHAAAACTMvMjcvMjAyM9XRPngQL9sIAshf9RUv2wgkQ0lRLlNCVVguSVFfQ0xPU0VQUklDRS4zLzI3LzIwMjMuVVNEAQAAALmHAAACAAAABTk4LjY2ANXRPngQL9sIAshf9RUv2wgcQ0lRLllVTS5JUV9URVYuMy8yNy8yMDIzLlVTRAEAAACtlQUAAgAAAAw0ODIwMy4wMzc3NDQBBgAAAAUAAAABMQEAAAALLTIwNTkzODAyNjYDAAAAAzE2MAIAAAAGMTAwMDYwBAAAAAEwBwAAAAkzLzI3LzIwMjPV0T54EC/bCALIX/UVL9sIHENJUS5XRU4uSVFfVEVWLjMvMjcvMjAyMy5VU0QBAAAABVwAAAIAAAALODAzNC40MjU5NzMBBgAAAAUAAAABMQEAAAALLTIwNTkwNTM0NTYDAAAAAzE2MAIAAAAGMTAwMDYwBAAAAAEwBwAAAAkzLzI3LzIwMjPV0T54EC/bCALIX/UVL9sIIENJUS5TQlVYLklRX01BUktFVENBUC4zLzI3LzIwMjMuAQAAALmHAAACAAAACjExMzM4OS45MzgBBgAAAAUAAAABMQEAAAALLTIwNjI0NzU2MTIDAAAAAzE2MAIA</t>
  </si>
  <si>
    <t>AAAGMTAwMDU0BAAAAAEwBwAAAAkzLzI3LzIwMjPV0T54EC/bCALIX/UVL9sIHENJUS5DTUcuSVFfVEVWLjMvMjcvMjAyMy5VU0QBAAAATmcAAAIAAAAMNDgzNDguMTA1OTIzAQYAAAAFAAAAATEBAAAACy0yMDYxODY1ODYxAwAAAAMxNjACAAAABjEwMDA2MAQAAAABMAcAAAAJMy8yNy8yMDIz1dE+eBAv2wgCyF/1FS/bCCNDSVEuV0VOLklRX0NMT1NFUFJJQ0UuMy8yNy8yMDIzLlVTRAEAAAAFXAAAAgAAAAUyMS4xNgDV0T54EC/bCDgqYvUVL9sIJ0NJUS5TQlVYLklRX1NIQVJFU09VVFNUQU5ESU5HLjMvMjcvMjAyMwEAAAC5hwAAAgAAAAYxMTQ5LjMA1dE+eBAv2wg4KmL1FS/bCB9DSVEuQ01HLklRX01BUktFVENBUC4zLzI3LzIwMjMuAQAAAE5nAAACAAAADDQ1NTE1LjgzMTkyNAEGAAAABQAAAAExAQAAAAstMjA2MTg2NTg2MQMAAAADMTYwAgAAAAYxMDAwNTQEAAAAATAHAAAACTMvMjcvMjAyM9XRPngQL9sIOCpi9RUv2wgjQ0lRLk1DRC5JUV9DTE9TRVBSSUNFLjMvMjcvMjAyMy5VU0QBAAAA4CACAAIAAAAGMjczLjg0ANXRPngQL9sIOCpi9RUv2wgfQ0lRLk1DRC5JUV9NQVJLRVRDQVAuMy8yNy8yMDIzLgEAAADgIAIAAgAAAA0yMDAzMTMuMTI1MDYyAQYAAAAFAAAAATEBAAAACy0yMDU5NTY4NjA3AwAAAAMxNjACAAAABjEwMDA1NAQAAAABMAcAAAAJMy8yNy8yMDIz1dE+eBAv2wg4KmL1FS/bCBxD</t>
  </si>
  <si>
    <t>SVEuRFBaLklRX1RFVi4zLzI3LzIwMjMuVVNEAQAAAGDMLwACAAAADDE2NjA1LjUyNzkwNwEGAAAABQAAAAExAQAAAAstMjA1OTk0NjY0OQMAAAADMTYwAgAAAAYxMDAwNjAEAAAAATAHAAAACTMvMjcvMjAyM9XRPngQL9sIOCpi9RUv2wgfQ0lRLldFTi5JUV9NQVJLRVRDQVAuMy8yNy8yMDIzLgEAAAAFXAAAAgAAAAs0NDk4LjUwNDk3MwEGAAAABQAAAAExAQAAAAstMjA1OTA1MzQ1NgMAAAADMTYwAgAAAAYxMDAwNTQEAAAAATAHAAAACTMvMjcvMjAyM9XRPngQL9sIOCpi9RUv2wgcQ0lRLk1DRC5JUV9URVYuMy8yNy8yMDIzLlVTRAEAAADgIAIAAgAAAA0yNDY1MTkuODI1MDYxAQYAAAAFAAAAATEBAAAACy0yMDU5NTY4NjA3AwAAAAMxNjACAAAABjEwMDA2MAQAAAABMAcAAAAJMy8yNy8yMDIz1dE+eBAv2wg4KmL1FS/bCCNDSVEuWVVNLklRX0NMT1NFUFJJQ0UuMy8yNy8yMDIzLlVTRAEAAACtlQUAAgAAAAYxMjguMjkA1dE+eBAv2wg4KmL1FS/bCCdDSVEuTUNELklRX1BFX05PUk1BTElaRUQuMjAwMC4zLzI3LzIwMjMBAAAA4CACAAIAAAAQMzYuNDQzMTc1ODQ3NjM5MgEHAAAABQAAAAExAQAAAAstMjA1OTU2ODYwMAMAAAABMAIAAAAGMTAyMzM1BAAAAAEwBwAAAAkzLzI3LzIwMjMIAAAACTMvMjcvMjAyM9XRPngQL9sIAshf9RUv2wgnQ0lRLllVTS5JUV9QRV9OT1JNQUxJWkVELjIwMDAuMy8yNy8y</t>
  </si>
  <si>
    <t>MDIzAQAAAK2VBQACAAAADzM0Ljk1Mzk0NjAxNjg3NAEHAAAABQAAAAExAQAAAAstMjA1OTM4MDI2NAMAAAABMAIAAAAGMTAyMzM1BAAAAAEwBwAAAAkzLzI3LzIwMjMIAAAACTMvMjcvMjAyM9XRPngQL9sIAshf9RUv2wgnQ0lRLkNNRy5JUV9QRV9OT1JNQUxJWkVELjIwMDAuMy8yNy8yMDIzAQAAAE5nAAACAAAAEDYxLjgyNDc0OTcwOTk3NzIBBwAAAAUAAAABMQEAAAALLTIwNjE4NjU4NTkDAAAAATACAAAABjEwMjMzNQQAAAABMAcAAAAJMy8yNy8yMDIzCAAAAAkzLzI3LzIwMjPV0T54EC/bCALIX/UVL9sIIENJUS5NQ0QuSVFfVEVWX0VCSVREQS4uMy8yNy8yMDIzAQAAAOAgAgACAAAAEDE3Ljg1NzY3MzQ3ODAwNjgBBwAAAAUAAAABMQEAAAALLTIwNTk1Njg2MDADAAAAATACAAAABjEwMDA2MwQAAAABMAcAAAAJMy8yNy8yMDIzCAAAAAkzLzI3LzIwMjPV0T54EC/bCALIX/UVL9sIIENJUS5DTUcuSVFfVEVWX0VCSVREQS4uMy8yNy8yMDIzAQAAAE5nAAACAAAAEDI0LjYyNTg3NjIyNTgyMzMBBwAAAAUAAAABMQEAAAALLTIwNjE4NjU4NTkDAAAAATACAAAABjEwMDA2MwQAAAABMAcAAAAJMy8yNy8yMDIzCAAAAAkzLzI3LzIwMjPV0T54EC/bCALIX/UVL9sIJ0NJUS5EUFouSVFfUEVfTk9STUFMSVpFRC4yMDAwLjMvMjcvMjAyMwEAAABgzC8AAgAAABAzMi4yNDI0OTY1NTUwNjAxAQcAAAAFAAAAATEB</t>
  </si>
  <si>
    <t>AAAACy0yMDU5OTQ2NjQxAwAAAAEwAgAAAAYxMDIzMzUEAAAAATAHAAAACTMvMjcvMjAyMwgAAAAJMy8yNy8yMDIz1dE+eBAv2wgCyF/1FS/bCChDSVEuU0JVWC5JUV9QRV9OT1JNQUxJWkVELjIwMDAuMy8yNy8yMDIzAQAAALmHAAACAAAAEDQxLjU3Mzc2ODk5OTY4ODYBBwAAAAUAAAABMQEAAAALLTIwNjI0NzI5NjMDAAAAATACAAAABjEwMjMzNQQAAAABMAcAAAAJMy8yNy8yMDIzCAAAAAkzLzI3LzIwMjPV0T54EC/bCALIX/UVL9sIKENJUS5TQlVYLklRX1RFVl9UT1RBTF9SRVYuMjAwMC4zLzI3LzIwMjMBAAAAuYcAAAIAAAAQNC4wNzAwMzU2MDgxNjQzNgEHAAAABQAAAAExAQAAAAstMjA2MjQ3Mjk2MwMAAAABMAIAAAAGMTAwMDYxBAAAAAEwBwAAAAkzLzI3LzIwMjMIAAAACTMvMjcvMjAyM9XRPngQL9sIAshf9RUv2wggQ0lRLllVTS5JUV9URVZfRUJJVERBLi4zLzI3LzIwMjMBAAAArZUFAAIAAAAQMjAuMDM0NTEyNzc4MTY3MQEHAAAABQAAAAExAQAAAAstMjA1OTM4MDI2NAMAAAABMAIAAAAGMTAwMDYzBAAAAAEwBwAAAAkzLzI3LzIwMjMIAAAACTMvMjcvMjAyM9XRPngQL9sIAshf9RUv2wggQ0lRLlFTUi5JUV9URVZfRUJJVERBLi4zLzI3LzIwMjMBAAAAjYgMAAIAAAAQMTUuOTcxMjkwMTMwNjc3NwEHAAAABQAAAAExAQAAAAstMjA1OTg4NjYxMgMAAAABMAIAAAAGMTAwMDYzBAAAAAEwBwAA</t>
  </si>
  <si>
    <t>AAkzLzI3LzIwMjMIAAAACTMvMjcvMjAyM9XRPngQL9sIAshf9RUv2wggQ0lRLkRQWi5JUV9URVZfRUJJVERBLi4zLzI3LzIwMjMBAAAAYMwvAAIAAAAQMTguMzc3NTY2MzY3MDU3MQEHAAAABQAAAAExAQAAAAstMjA1OTk0NjY0MQMAAAABMAIAAAAGMTAwMDYzBAAAAAEwBwAAAAkzLzI3LzIwMjMIAAAACTMvMjcvMjAyM9XRPngQL9sIAshf9RUv2wgnQ0lRLlFTUi5JUV9QRV9OT1JNQUxJWkVELjIwMDAuMy8yNy8yMDIzAQAAAI2IDAACAAAAEDY2LjU0NzM2ODQyMTA1MjYBBwAAAAUAAAABMQEAAAALLTIwNTk4ODY2MTIDAAAAATACAAAABjEwMjMzNQQAAAABMAcAAAAJMy8yNy8yMDIzCAAAAAkzLzI3LzIwMjPV0T54EC/bCALIX/UVL9sIJ0NJUS5XRU4uSVFfUEVfTk9STUFMSVpFRC4yMDAwLjMvMjcvMjAyMwEAAAAFXAAAAgAAABAzMS4wNjMyODYzMDc3ODQ5AQcAAAAFAAAAATEBAAAACy0yMDU5MDUzNDU0AwAAAAEwAgAAAAYxMDIzMzUEAAAAATAHAAAACTMvMjcvMjAyMwgAAAAJMy8yNy8yMDIz1dE+eBAv2wgCyF/1FS/bCCdDSVEuUVNSLklRX1RFVl9UT1RBTF9SRVYuMjAwMC4zLzI3LzIwMjMBAAAAjYgMAAIAAAAQNS4zMjU0MDAxOTg4Mzc4MgEHAAAABQAAAAExAQAAAAstMjA1OTg4NjYxMgMAAAABMAIAAAAGMTAwMDYxBAAAAAEwBwAAAAkzLzI3LzIwMjMIAAAACTMvMjcvMjAyM9XRPngQL9sIAshf</t>
  </si>
  <si>
    <t>9RUv2wgnQ0lRLldFTi5JUV9URVZfVE9UQUxfUkVWLjIwMDAuMy8yNy8yMDIzAQAAAAVcAAACAAAAEDMuODM0MTIzOTgxMzIxOTMBBwAAAAUAAAABMQEAAAALLTIwNTkwNTM0NTQDAAAAATACAAAABjEwMDA2MQQAAAABMAcAAAAJMy8yNy8yMDIzCAAAAAkzLzI3LzIwMjPV0T54EC/bCALIX/UVL9sIIENJUS5XRU4uSVFfVEVWX0VCSVREQS4uMy8yNy8yMDIzAQAAAAVcAAACAAAAEDE1LjkyNDAzODczODY3MDUBBwAAAAUAAAABMQEAAAALLTIwNTkwNTM0NTQDAAAAATACAAAABjEwMDA2MwQAAAABMAcAAAAJMy8yNy8yMDIzCAAAAAkzLzI3LzIwMjPV0T54EC/bCALIX/UVL9sIJ0NJUS5ZVU0uSVFfVEVWX1RPVEFMX1JFVi4yMDAwLjMvMjcvMjAyMwEAAACtlQUAAgAAABA3LjA0NTE2Nzc0OTgyMDIzAQcAAAAFAAAAATEBAAAACy0yMDU5MzgwMjY0AwAAAAEwAgAAAAYxMDAwNjEEAAAAATAHAAAACTMvMjcvMjAyMwgAAAAJMy8yNy8yMDIz1dE+eBAv2wgCyF/1FS/bCCdDSVEuRFBaLklRX1RFVl9UT1RBTF9SRVYuMjAwMC4zLzI3LzIwMjMBAAAAYMwvAAIAAAAPMy42NTk4OTYzMjg4NjQ5AQcAAAAFAAAAATEBAAAACy0yMDU5OTQ2NjQxAwAAAAEwAgAAAAYxMDAwNjEEAAAAATAHAAAACTMvMjcvMjAyMwgAAAAJMy8yNy8yMDIz1dE+eBAv2wgCyF/1FS/bCCFDSVEuU0JVWC5JUV9URVZfRUJJVERBLi4zLzI3LzIw</t>
  </si>
  <si>
    <t>MjMBAAAAuYcAAAIAAAAQMTQuOTk2OTU5MTkzOTU0NwEHAAAABQAAAAExAQAAAAstMjA2MjQ3Mjk2MwMAAAABMAIAAAAGMTAwMDYzBAAAAAEwBwAAAAkzLzI3LzIwMjMIAAAACTMvMjcvMjAyM9XRPngQL9sIAshf9RUv2wgnQ0lRLk1DRC5JUV9URVZfVE9UQUxfUkVWLjIwMDAuMy8yNy8yMDIzAQAAAOAgAgACAAAAEDEwLjYzMzgyOTkwMDk1MzMBBwAAAAUAAAABMQEAAAALLTIwNTk1Njg2MDADAAAAATACAAAABjEwMDA2MQQAAAABMAcAAAAJMy8yNy8yMDIzCAAAAAkzLzI3LzIwMjPV0T54EC/bCDgqYvUVL9sIJ0NJUS5DTUcuSVFfVEVWX1RPVEFMX1JFVi4yMDAwLjMvMjcvMjAyMwEAAABOZwAAAgAAABA1LjU5OTMxMTQ2MzEwNzAyAQcAAAAFAAAAATEBAAAACy0yMDYxODY1ODU5AwAAAAEwAgAAAAYxMDAwNjEEAAAAATAHAAAACTMvMjcvMjAyMwgAAAAJMy8yNy8yMDIz1dE+eBAv2wg4KmL1FS/bCCVDSVEuTUNELklRX1BFX0VYQ0xfRldELjYwMDAuMy8yNy8yMDIzAQAAAOAgAgACAAAAEDI1Ljg4Mzg5ODY1MzUzNDQBDQAAAAUAAAABOQEAAAAHMjYyOTA4NAIAAAAKMTAwMTk3NjI1NwMAAAAGMTAwMzA5BAAAAAEyBgAAAAEwBwAAAAMxNjAIAAAAATAJAAAAATEKAAAAATALAAAACzEzMjM5NDQ4MzAzDAAAAAIxMg0AAAAJMy8yOC8yMDIz1dE+eBAv2wgCyF/1FS/bCCVDSVEuWVVNLklRX1BFX0VYQ0xfRldE</t>
  </si>
  <si>
    <t>LjYwMDAuMy8yNy8yMDIzAQAAAK2VBQACAAAAEDI0Ljg0NDI1MTM4OTk3MjgBDQAAAAUAAAABOQEAAAAHMjY2NTQ4MAIAAAAKMTAwMTk3NjQwMQMAAAAGMTAwMzA5BAAAAAEyBgAAAAEwBwAAAAMxNjAIAAAAATAJAAAAATEKAAAAATALAAAACzEzMjM5NTI4MzkyDAAAAAIxMg0AAAAJMy8yOC8yMDIz1dE+eBAv2wgCyF/1FS/bCCZDSVEuU0JVWC5JUV9QRV9FWENMX0ZXRC42MDAwLjMvMjcvMjAyMwEAAAC5hwAAAgAAABAyNy4zNzIxMDA3NjU3MzA4AQ0AAAAFAAAAATkBAAAABzI2NTQzOTICAAAACDM2Mjc1ODU0AwAAAAYxMDAzMDkEAAAAATIGAAAAATAHAAAAAzE2MAgAAAABMAkAAAABMQoAAAABMAsAAAALMTMyMzkwMzk5MTQMAAAAAjEyDQAAAAkzLzI4LzIwMjPV0T54EC/bCALIX/UVL9sILENJUS5ZVU0uSVFfVEVWX0VCSVREQV9GV0RfQ0lRLjYwMDAuMy8yNy8yMDIzAQAAAK2VBQACAAAAEDE4LjgyOTMwNTg4MTgwMTMBDQAAAAUAAAABOQEAAAAHMjY2NTQ4MAIAAAAKMTAwMTk3NjQwMQMAAAAGMTAwMzA4BAAAAAEyBgAAAAEwBwAAAAMxNjAIAAAAATAJAAAAATEKAAAAATALAAAACzEzMjM5NTI2NTU4DAAAAAIxMg0AAAAJMy8yOC8yMDIz1dE+eBAv2wgCyF/1FS/bCCVDSVEuUVNSLklRX1BFX0VYQ0xfRldELjYwMDAuMy8yNy8yMDIzAQAAAI2IDAACAAAAEDIwLjgwMzIzNzk2MDQ3OTgBDQAAAAUAAAAB</t>
  </si>
  <si>
    <t>OQEAAAAJMjc5ODQzODQyAgAAAAoxMDAxNjM0NzIzAwAAAAYxMDAzMDkEAAAAATIGAAAAATAHAAAAAzE2MAgAAAABMAkAAAABMQoAAAABMAsAAAALMTMyMzk1MzcxNDUMAAAAAjEyDQAAAAkzLzI4LzIwMjPV0T54EC/bCALIX/UVL9sIJUNJUS5XRU4uSVFfUEVfRVhDTF9GV0QuNjAwMC4zLzI3LzIwMjMBAAAABVwAAAIAAAAQMjEuNjI4OTE0ODc0NDc4NwENAAAABQAAAAE5AQAAAAg0OTMzNDMyOQIAAAAKMTAwMTk3NjE3OQMAAAAGMTAwMzA5BAAAAAEyBgAAAAEwBwAAAAMxNjAIAAAAATAJAAAAATEKAAAAATALAAAACzEzMjM5NDMzMjQ3DAAAAAIxMg0AAAAJMy8yOC8yMDIz1dE+eBAv2wgCyF/1FS/bCCxDSVEuTUNELklRX1RFVl9FQklUREFfRldEX0NJUS42MDAwLjMvMjcvMjAyMwEAAADgIAIAAgAAABAxOC45OTc5ODUwMjE2NTAzAQ0AAAAFAAAAATkBAAAABzI2MjkwODQCAAAACjEwMDE5NzYyNTcDAAAABjEwMDMwOAQAAAABMgYAAAABMAcAAAADMTYwCAAAAAEwCQAAAAExCgAAAAEwCwAAAAsxMzIzOTQ0NjMzNQwAAAACMTINAAAACTMvMjgvMjAyM9XRPngQL9sIAshf9RUv2wgsQ0lRLkNNRy5JUV9URVZfRUJJVERBX0ZXRF9DSVEuNjAwMC4zLzI3LzIwMjMBAAAATmcAAAIAAAAQMjYuMDU1ODE1MTM0ODA2MgENAAAABQAAAAE5AQAAAAgyNTY2NDM0NwIAAAAKMTAwMDk0NDg5NAMAAAAGMTAwMzA4BAAA</t>
  </si>
  <si>
    <t>AAEyBgAAAAEwBwAAAAMxNjAIAAAAATAJAAAAATEKAAAAATALAAAACzEzMjM5NDI1MDY4DAAAAAIxMg0AAAAJMy8yOC8yMDIz1dE+eBAv2wgCyF/1FS/bCCxDSVEuUVNSLklRX1RFVl9FQklUREFfRldEX0NJUS42MDAwLjMvMjcvMjAyMwEAAACNiAwAAgAAABAxNC4wNzYxMzkxNzE2MzAxAQ0AAAAFAAAAATkBAAAACTI3OTg0Mzg0MgIAAAAKMTAwMTYzNDcyMwMAAAAGMTAwMzA4BAAAAAEyBgAAAAEwBwAAAAMxNjAIAAAAATAJAAAAATEKAAAAATALAAAACzEzMjM5NTM1NzEzDAAAAAIxMg0AAAAJMy8yOC8yMDIz1dE+eBAv2wgCyF/1FS/bCCVDSVEuQ01HLklRX1BFX0VYQ0xfRldELjYwMDAuMy8yNy8yMDIzAQAAAE5nAAACAAAAEDM5LjM1OTkyOTk4NTE3NjMBDQAAAAUAAAABOQEAAAAIMjU2NjQzNDcCAAAACjEwMDA5NDQ4OTQDAAAABjEwMDMwOQQAAAABMgYAAAABMAcAAAADMTYwCAAAAAEwCQAAAAExCgAAAAEwCwAAAAsxMzIzOTQyNTU5MQwAAAACMTINAAAACTMvMjgvMjAyM9XRPngQL9sIAshf9RUv2wglQ0lRLkRQWi5JUV9QRV9FWENMX0ZXRC42MDAwLjMvMjcvMjAyMwEAAABgzC8AAgAAABAyNC44MDI2MzgwNjA5ODgyAQ0AAAAFAAAAATkBAAAACDEwNzc5NTI0AgAAAAoxMDAzOTcxODc3AwAAAAYxMDAzMDkEAAAAATIGAAAAATAHAAAAAzE2MAgAAAABMAkAAAABMQoAAAABMAsAAAALMTMyMzk1Mzc2</t>
  </si>
  <si>
    <t>NzMMAAAAAjEyDQAAAAkzLzI4LzIwMjPV0T54EC/bCALIX/UVL9sILENJUS5TQlVYLklRX1RFVl9UT1RBTF9SRVZfRldELjYwMDAuMy8yNy8yMDIzAQAAALmHAAACAAAAEDMuNjE4MDM2OTA5OTI3ODIBDQAAAAUAAAABOQEAAAAHMjY1NDM5MgIAAAAIMzYyNzU4NTQDAAAABjEwMDMwNwQAAAABMgYAAAABMAcAAAADMTYwCAAAAAEwCQAAAAExCgAAAAEwCwAAAAsxMzIzOTAzOTg3MAwAAAACMTINAAAACTMvMjgvMjAyM9XRPngQL9sIAshf9RUv2wgrQ0lRLlFTUi5JUV9URVZfVE9UQUxfUkVWX0ZXRC42MDAwLjMvMjcvMjAyMwEAAACNiAwAAgAAABA1LjA1MTIyMjUxMjA4OTIxAQ0AAAAFAAAAATkBAAAACTI3OTg0Mzg0MgIAAAAKMTAwMTYzNDcyMwMAAAAGMTAwMzA3BAAAAAEyBgAAAAEwBwAAAAMxNjAIAAAAATAJAAAAATEKAAAAATALAAAACzEzMjM5NTM2NzU1DAAAAAIxMg0AAAAJMy8yOC8yMDIz1dE+eBAv2wgCyF/1FS/bCCxDSVEuV0VOLklRX1RFVl9FQklUREFfRldEX0NJUS42MDAwLjMvMjcvMjAyMwEAAAAFXAAAAgAAABAxNC45OTAyMzg5MDA2MTg5AQ0AAAAFAAAAATkBAAAACDQ5MzM0MzI5AgAAAAoxMDAxOTc2MTc5AwAAAAYxMDAzMDgEAAAAATIGAAAAATAHAAAAAzE2MAgAAAABMAkAAAABMQoAAAABMAsAAAALMTMyMzk0MzI0NTQMAAAAAjEyDQAAAAkzLzI4LzIwMjPV0T54EC/bCALIX/UVL9sI</t>
  </si>
  <si>
    <t>K0NJUS5DTUcuSVFfVEVWX1RPVEFMX1JFVl9GV0QuNjAwMC4zLzI3LzIwMjMBAAAATmcAAAIAAAAQNC45MzQ2MzQ4MzUzNzE2MwENAAAABQAAAAE5AQAAAAgyNTY2NDM0NwIAAAAKMTAwMDk0NDg5NAMAAAAGMTAwMzA3BAAAAAEyBgAAAAEwBwAAAAMxNjAIAAAAATAJAAAAATEKAAAAATALAAAACzEzMjM5NDI1MjI1DAAAAAIxMg0AAAAJMy8yOC8yMDIz1dE+eBAv2wgCyF/1FS/bCCtDSVEuRFBaLklRX1RFVl9UT1RBTF9SRVZfRldELjYwMDAuMy8yNy8yMDIzAQAAAGDMLwACAAAAEDMuNTg4NzM1ODQ0MjE3MzgBDQAAAAUAAAABOQEAAAAIMTA3Nzk1MjQCAAAACjEwMDM5NzE4NzcDAAAABjEwMDMwNwQAAAABMgYAAAABMAcAAAADMTYwCAAAAAEwCQAAAAExCgAAAAEwCwAAAAsxMzIzOTUzNzMxMwwAAAACMTINAAAACTMvMjgvMjAyM9XRPngQL9sIAshf9RUv2wgrQ0lRLldFTi5JUV9URVZfVE9UQUxfUkVWX0ZXRC42MDAwLjMvMjcvMjAyMwEAAAAFXAAAAgAAABAzLjYzMTk0MDA3MDkyMjMyAQ0AAAAFAAAAATkBAAAACDQ5MzM0MzI5AgAAAAoxMDAxOTc2MTc5AwAAAAYxMDAzMDcEAAAAATIGAAAAATAHAAAAAzE2MAgAAAABMAkAAAABMQoAAAABMAsAAAALMTMyMzk0MzI1NzUMAAAAAjEyDQAAAAkzLzI4LzIwMjPV0T54EC/bCALIX/UVL9sILENJUS5EUFouSVFfVEVWX0VCSVREQV9GV0RfQ0lRLjYwMDAuMy8y</t>
  </si>
  <si>
    <t>Ny8yMDIzAQAAAGDMLwACAAAAEDE5LjEwNjkxMTA4Mjc3MjIBDQAAAAUAAAABOQEAAAAIMTA3Nzk1MjQCAAAACjEwMDM5NzE4NzcDAAAABjEwMDMwOAQAAAABMgYAAAABMAcAAAADMTYwCAAAAAEwCQAAAAExCgAAAAEwCwAAAAsxMzIzOTUzNzE5OQwAAAACMTINAAAACTMvMjgvMjAyM9XRPngQL9sIAshf9RUv2wgtQ0lRLlNCVVguSVFfVEVWX0VCSVREQV9GV0RfQ0lRLjYwMDAuMy8yNy8yMDIzAQAAALmHAAACAAAAEDE4LjI0MzUyMjc5NjI5NzQBDQAAAAUAAAABOQEAAAAHMjY1NDM5MgIAAAAIMzYyNzU4NTQDAAAABjEwMDMwOAQAAAABMgYAAAABMAcAAAADMTYwCAAAAAEwCQAAAAExCgAAAAEwCwAAAAsxMzIzOTAzOTg3NwwAAAACMTINAAAACTMvMjgvMjAyM9XRPngQL9sIAshf9RUv2wgrQ0lRLk1DRC5JUV9URVZfVE9UQUxfUkVWX0ZXRC42MDAwLjMvMjcvMjAyMwEAAADgIAIAAgAAABAxMC4xMTM0Njg4MDkzMjcyAQ0AAAAFAAAAATkBAAAABzI2MjkwODQCAAAACjEwMDE5NzYyNTcDAAAABjEwMDMwNwQAAAABMgYAAAABMAcAAAADMTYwCAAAAAEwCQAAAAExCgAAAAEwCwAAAAsxMzIzOTQ0NzAwMQwAAAACMTINAAAACTMvMjgvMjAyM9XRPngQL9sIAshf9RUv2wgrQ0lRLllVTS5JUV9URVZfVE9UQUxfUkVWX0ZXRC42MDAwLjMvMjcvMjAyMwEAAACtlQUAAgAAABA2LjYyMjY0OTIxNTA5ODU5AQ0AAAAF</t>
  </si>
  <si>
    <t>AAAAATkBAAAABzI2NjU0ODACAAAACjEwMDE5NzY0MDEDAAAABjEwMDMwNwQAAAABMgYAAAABMAcAAAADMTYwCAAAAAEwCQAAAAExCgAAAAEwCwAAAAsxMzIzOTUyNzA3NAwAAAACMTINAAAACTMvMjgvMjAyM9XRPngQL9sIOCpi9RUv2wgpQ0lRLk1DRC5JUV9UT1RBTF9SRVYuMjAwMC4zLzI3LzIwMjMuLi5VU0QBAAAA4CACAAIAAAAHMjMxODIuNgEIAAAABQAAAAExAQAAAAstMjA1OTU2ODYwMAMAAAADMTYwAgAAAAIyOAQAAAABMAcAAAAJMy8yNy8yMDIzCAAAAAoxMi8zMS8yMDIyCQAAAAEw1dE+eBAv2wgCyF/1FS/bCCZDSVEuWVVNLklRX0VCSVREQS4yMDAwLjMvMjcvMjAyMy4uLlVTRAEAAACtlQUAAgAAAAQyMzI4AQgAAAAFAAAAATEBAAAACy0yMDU5MzgwMjY0AwAAAAMxNjACAAAABDQwNTEEAAAAATAHAAAACTMvMjcvMjAyMwgAAAAKMTIvMzEvMjAyMgkAAAABMNXRPngQL9sIAshf9RUv2wgpQ0lRLllVTS5JUV9UT1RBTF9SRVYuMjAwMC4zLzI3LzIwMjMuLi5VU0QBAAAArZUFAAIAAAAENjg0MgEIAAAABQAAAAExAQAAAAstMjA1OTM4MDI2NAMAAAADMTYwAgAAAAIyOAQAAAABMAcAAAAJMy8yNy8yMDIzCAAAAAoxMi8zMS8yMDIyCQAAAAEw1dE+eBAv2wgCyF/1FS/bCC5DSVEuU0JVWC5JUV9VTkxFVkVSRURfRkNGLjIwMDAuMy8yNy8yMDIzLi4uVVNEAQAAALmHAAACAAAACTE5NTEuMzM3NQEI</t>
  </si>
  <si>
    <t>AAAABQAAAAExAQAAAAstMjA2MjQ3Mjk2MwMAAAADMTYwAgAAAAQ0NDIzBAAAAAEwBwAAAAkzLzI3LzIwMjMIAAAACDEvMS8yMDIzCQAAAAEw1dE+eBAv2wgCyF/1FS/bCCtDSVEuU0JVWC5JUV9DQVNIX0VRVUlWLjIwMDAuMy8yNy8yMDIzLi4uVVNEAQAAALmHAAACAAAABjMxODYuNQEIAAAABQAAAAExAQAAAAstMjA2MjQ3Mjk2MwMAAAADMTYwAgAAAAQxMDk2BAAAAAEwBwAAAAkzLzI3LzIwMjMIAAAACDEvMS8yMDIzCQAAAAEw1dE+eBAv2wgCyF/1FS/bCCZDSVEuQ01HLklRX0VCSVREQS4yMDAwLjMvMjcvMjAyMy4uLlVTRAEAAABOZwAAAgAAAAgxNDY4LjM2OAEIAAAABQAAAAExAQAAAAstMjA2MTg2NTg1OQMAAAADMTYwAgAAAAQ0MDUxBAAAAAEwBwAAAAkzLzI3LzIwMjMIAAAACjEyLzMxLzIwMjIJAAAAATDV0T54EC/bCALIX/UVL9sILUNJUS5EUFouSVFfRUJJVERBX01BUkdJTi4yMDAwLjMvMjcvMjAyMy4uLlVTRAEAAABgzC8AAgAAAAcxOC4xNjA2AQgAAAAFAAAAATEBAAAACy0yMDU5OTQ2NjQxAwAAAAMxNjACAAAABDQwNDcEAAAAATAHAAAACTMvMjcvMjAyMwgAAAAIMS8xLzIwMjMJAAAAATDV0T54EC/bCALIX/UVL9sILUNJUS5TQlVYLklRX0dST1NTX01BUkdJTi4yMDAwLjMvMjcvMjAyMy4uLlVTRAEAAAC5hwAAAgAAAAYyNS43NDIBCAAAAAUAAAABMQEAAAALLTIwNjI0NzI5NjMDAAAA</t>
  </si>
  <si>
    <t>AzE2MAIAAAAENDA3NAQAAAABMAcAAAAJMy8yNy8yMDIzCAAAAAgxLzEvMjAyMwkAAAABMNXRPngQL9sIAshf9RUv2wgmQ0lRLldFTi5JUV9FQklUREEuMjAwMC4zLzI3LzIwMjMuLi5VU0QBAAAABVwAAAIAAAAHNDY5LjA0NQEIAAAABQAAAAExAQAAAAstMjA1OTA1MzQ1NAMAAAADMTYwAgAAAAQ0MDUxBAAAAAEwBwAAAAkzLzI3LzIwMjMIAAAACDEvMS8yMDIzCQAAAAEw1dE+eBAv2wgCyF/1FS/bCC1DSVEuQ01HLklRX1VOTEVWRVJFRF9GQ0YuMjAwMC4zLzI3LzIwMjMuLi5VU0QBAAAATmcAAAIAAAAJNzAzLjM2Mjc1AQgAAAAFAAAAATEBAAAACy0yMDYxODY1ODU5AwAAAAMxNjACAAAABDQ0MjMEAAAAATAHAAAACTMvMjcvMjAyMwgAAAAKMTIvMzEvMjAyMgkAAAABMNXRPngQL9sIAshf9RUv2wgtQ0lRLlFTUi5JUV9VTkxFVkVSRURfRkNGLjIwMDAuMy8yNy8yMDIzLi4uVVNEAQAAAI2IDAACAAAACDE1NTkuMzc1AQgAAAAFAAAAATEBAAAACy0yMDU5ODg2NjEyAwAAAAMxNjACAAAABDQ0MjMEAAAAATAHAAAACTMvMjcvMjAyMwgAAAAKMTIvMzEvMjAyMgkAAAABMNXRPngQL9sIAshf9RUv2wgmQ0lRLlFTUi5JUV9FQklUREEuMjAwMC4zLzI3LzIwMjMuLi5VU0QBAAAAjYgMAAIAAAAEMjIxMwEIAAAABQAAAAExAQAAAAstMjA1OTg4NjYxMgMAAAADMTYwAgAAAAQ0MDUxBAAAAAEwBwAAAAkzLzI3LzIw</t>
  </si>
  <si>
    <t>MjMIAAAACjEyLzMxLzIwMjIJAAAAATDV0T54EC/bCALIX/UVL9sIJkNJUS5EUFouSVFfRUJJVERBLjIwMDAuMy8yNy8yMDIzLi4uVVNEAQAAAGDMLwACAAAABzgyMy45NzYBCAAAAAUAAAABMQEAAAALLTIwNTk5NDY2NDEDAAAAAzE2MAIAAAAENDA1MQQAAAABMAcAAAAJMy8yNy8yMDIzCAAAAAgxLzEvMjAyMwkAAAABMNXRPngQL9sIAshf9RUv2wguQ0lRLlNCVVguSVFfRUJJVERBX01BUkdJTi4yMDAwLjMvMjcvMjAyMy4uLlVTRAEAAAC5hwAAAgAAAAcxOC4yMzEyAQgAAAAFAAAAATEBAAAACy0yMDYyNDcyOTYzAwAAAAMxNjACAAAABDQwNDcEAAAAATAHAAAACTMvMjcvMjAyMwgAAAAIMS8xLzIwMjMJAAAAATDV0T54EC/bCALIX/UVL9sIJ0NJUS5TQlVYLklRX0VCSVREQS4yMDAwLjMvMjcvMjAyMy4uLlVTRAEAAAC5hwAAAgAAAAY2MDAwLjYBCAAAAAUAAAABMQEAAAALLTIwNjI0NzI5NjMDAAAAAzE2MAIAAAAENDA1MQQAAAABMAcAAAAJMy8yNy8yMDIzCAAAAAgxLzEvMjAyMwkAAAABMNXRPngQL9sIAshf9RUv2wgpQ0lRLkRQWi5JUV9UT1RBTF9SRVYuMjAwMC4zLzI3LzIwMjMuLi5VU0QBAAAAYMwvAAIAAAAINDUzNy4xNTgBCAAAAAUAAAABMQEAAAALLTIwNTk5NDY2NDEDAAAAAzE2MAIAAAACMjgEAAAAATAHAAAACTMvMjcvMjAyMwgAAAAIMS8xLzIwMjMJAAAAATDV0T54EC/bCALIX/UVL9sI</t>
  </si>
  <si>
    <t>LENJUS5RU1IuSVFfR1JPU1NfTUFSR0lOLjIwMDAuMy8yNy8yMDIzLi4uVVNEAQAAAI2IDAACAAAABzM5LjkzODUBCAAAAAUAAAABMQEAAAALLTIwNTk4ODY2MTIDAAAAAzE2MAIAAAAENDA3NAQAAAABMAcAAAAJMy8yNy8yMDIzCAAAAAoxMi8zMS8yMDIyCQAAAAEw1dE+eBAv2wgCyF/1FS/bCCxDSVEuRFBaLklRX0dST1NTX01BUkdJTi4yMDAwLjMvMjcvMjAyMy4uLlVTRAEAAABgzC8AAgAAAAcyNS42Mzg4AQgAAAAFAAAAATEBAAAACy0yMDU5OTQ2NjQxAwAAAAMxNjACAAAABDQwNzQEAAAAATAHAAAACTMvMjcvMjAyMwgAAAAIMS8xLzIwMjMJAAAAATDV0T54EC/bCALIX/UVL9sIJUNJUS5NQ0QuSVFfVUZDRl9NQVJHSU4uMjAwMC4zLzI3LzIwMjMBAAAA4CACAAIAAAAHMjYuMDA1MgEIAAAABQAAAAExAQAAAAstMjA1OTU2ODYwMAMAAAADMTYwAgAAAAQ0NDM3BAAAAAEwBwAAAAkzLzI3LzIwMjMIAAAACjEyLzMxLzIwMjIJAAAAATDV0T54EC/bCALIX/UVL9sILUNJUS5NQ0QuSVFfRUJJVERBX01BUkdJTi4yMDAwLjMvMjcvMjAyMy4uLlVTRAEAAADgIAIAAgAAAAc1Mi42OTIxAQgAAAAFAAAAATEBAAAACy0yMDU5NTY4NjAwAwAAAAMxNjACAAAABDQwNDcEAAAAATAHAAAACTMvMjcvMjAyMwgAAAAKMTIvMzEvMjAyMgkAAAABMNXRPngQL9sIAshf9RUv2wgtQ0lRLllVTS5JUV9VTkxFVkVSRURfRkNG</t>
  </si>
  <si>
    <t>LjIwMDAuMy8yNy8yMDIzLi4uVVNEAQAAAK2VBQACAAAABzExMTEuNzUBCAAAAAUAAAABMQEAAAALLTIwNTkzODAyNjQDAAAAAzE2MAIAAAAENDQyMwQAAAABMAcAAAAJMy8yNy8yMDIzCAAAAAoxMi8zMS8yMDIyCQAAAAEw1dE+eBAv2wgCyF/1FS/bCCVDSVEuWVVNLklRX1VGQ0ZfTUFSR0lOLjIwMDAuMy8yNy8yMDIzAQAAAK2VBQACAAAABzE2LjI0ODkBCAAAAAUAAAABMQEAAAALLTIwNTkzODAyNjQDAAAAAzE2MAIAAAAENDQzNwQAAAABMAcAAAAJMy8yNy8yMDIzCAAAAAoxMi8zMS8yMDIyCQAAAAEw1dE+eBAv2wgCyF/1FS/bCC1DSVEuRFBaLklRX1VOTEVWRVJFRF9GQ0YuMjAwMC4zLzI3LzIwMjMuLi5VU0QBAAAAYMwvAAIAAAAKNDM2LjM4MTYyNQEIAAAABQAAAAExAQAAAAstMjA1OTk0NjY0MQMAAAADMTYwAgAAAAQ0NDIzBAAAAAEwBwAAAAkzLzI3LzIwMjMIAAAACDEvMS8yMDIzCQAAAAEw1dE+eBAv2wgCyF/1FS/bCC1DSVEuV0VOLklRX1VOTEVWRVJFRF9GQ0YuMjAwMC4zLzI3LzIwMjMuLi5VU0QBAAAABVwAAAIAAAAKMjY4LjA1NDM3NQEIAAAABQAAAAExAQAAAAstMjA1OTA1MzQ1NAMAAAADMTYwAgAAAAQ0NDIzBAAAAAEwBwAAAAkzLzI3LzIwMjMIAAAACDEvMS8yMDIzCQAAAAEw1dE+eBAv2wgCyF/1FS/bCCVDSVEuV0VOLklRX1VGQ0ZfTUFSR0lOLjIwMDAuMy8yNy8yMDIzAQAAAAVc</t>
  </si>
  <si>
    <t>AAACAAAABzEyLjc5MTgBCAAAAAUAAAABMQEAAAALLTIwNTkwNTM0NTQDAAAAAzE2MAIAAAAENDQzNwQAAAABMAcAAAAJMy8yNy8yMDIzCAAAAAgxLzEvMjAyMwkAAAABMNXRPngQL9sIAshf9RUv2wgpQ0lRLkNNRy5JUV9UT1RBTF9SRVYuMjAwMC4zLzI3LzIwMjMuLi5VU0QBAAAATmcAAAIAAAAIODYzNC42NTIBCAAAAAUAAAABMQEAAAALLTIwNjE4NjU4NTkDAAAAAzE2MAIAAAACMjgEAAAAATAHAAAACTMvMjcvMjAyMwgAAAAKMTIvMzEvMjAyMgkAAAABMNXRPngQL9sIAshf9RUv2wgmQ0lRLk1DRC5JUV9FQklUREEuMjAwMC4zLzI3LzIwMjMuLi5VU0QBAAAA4CACAAIAAAAHMTIyMTUuNAEIAAAABQAAAAExAQAAAAstMjA1OTU2ODYwMAMAAAADMTYwAgAAAAQ0MDUxBAAAAAEwBwAAAAkzLzI3LzIwMjMIAAAACjEyLzMxLzIwMjIJAAAAATDV0T54EC/bCALIX/UVL9sILENJUS5NQ0QuSVFfR1JPU1NfTUFSR0lOLjIwMDAuMy8yNy8yMDIzLi4uVVNEAQAAAOAgAgACAAAABzU2Ljk3MDMBCAAAAAUAAAABMQEAAAALLTIwNTk1Njg2MDADAAAAAzE2MAIAAAAENDA3NAQAAAABMAcAAAAJMy8yNy8yMDIzCAAAAAoxMi8zMS8yMDIyCQAAAAEw1dE+eBAv2wgCyF/1FS/bCC1DSVEuTUNELklRX1VOTEVWRVJFRF9GQ0YuMjAwMC4zLzI3LzIwMjMuLi5VU0QBAAAA4CACAAIAAAAGNjAyOC43AQgAAAAFAAAAATEBAAAA</t>
  </si>
  <si>
    <t>Cy0yMDU5NTY4NjAwAwAAAAMxNjACAAAABDQ0MjMEAAAAATAHAAAACTMvMjcvMjAyMwgAAAAKMTIvMzEvMjAyMgkAAAABMNXRPngQL9sIAshf9RUv2wgmQ0lRLlNCVVguSVFfVUZDRl9NQVJHSU4uMjAwMC4zLzI3LzIwMjMBAAAAuYcAAAIAAAAGNS45Mjg2AQgAAAAFAAAAATEBAAAACy0yMDYyNDcyOTYzAwAAAAMxNjACAAAABDQ0MzcEAAAAATAHAAAACTMvMjcvMjAyMwgAAAAIMS8xLzIwMjMJAAAAATDV0T54EC/bCALIX/UVL9sIJUNJUS5DTUcuSVFfVUZDRl9NQVJHSU4uMjAwMC4zLzI3LzIwMjMBAAAATmcAAAIAAAAGOC4xNDU4AQgAAAAFAAAAATEBAAAACy0yMDYxODY1ODU5AwAAAAMxNjACAAAABDQ0MzcEAAAAATAHAAAACTMvMjcvMjAyMwgAAAAKMTIvMzEvMjAyMgkAAAABMNXRPngQL9sIAshf9RUv2wglQ0lRLkRQWi5JUV9VRkNGX01BUkdJTi4yMDAwLjMvMjcvMjAyMwEAAABgzC8AAgAAAAY5LjYxNzkBCAAAAAUAAAABMQEAAAALLTIwNTk5NDY2NDEDAAAAAzE2MAIAAAAENDQzNwQAAAABMAcAAAAJMy8yNy8yMDIzCAAAAAgxLzEvMjAyMwkAAAABMNXRPngQL9sIOCpi9RUv2wgqQ0lRLlNCVVguSVFfVE9UQUxfUkVWLjIwMDAuMy8yNy8yMDIzLi4uVVNEAQAAALmHAAACAAAABzMyOTEzLjgBCAAAAAUAAAABMQEAAAALLTIwNjI0NzI5NjMDAAAAAzE2MAIAAAACMjgEAAAAATAHAAAACTMvMjcvMjAy</t>
  </si>
  <si>
    <t>MwgAAAAIMS8xLzIwMjMJAAAAATDV0T54EC/bCDgqYvUVL9sILENJUS5DTUcuSVFfR1JPU1NfTUFSR0lOLjIwMDAuMy8yNy8yMDIzLi4uVVNEAQAAAE5nAAACAAAABzM5LjA3NTMBCAAAAAUAAAABMQEAAAALLTIwNjE4NjU4NTkDAAAAAzE2MAIAAAAENDA3NAQAAAABMAcAAAAJMy8yNy8yMDIzCAAAAAoxMi8zMS8yMDIyCQAAAAEw1dE+eBAv2wg4KmL1FS/bCClDSVEuUVNSLklRX1RPVEFMX1JFVi4yMDAwLjMvMjcvMjAyMy4uLlVTRAEAAACNiAwAAgAAAAQ2NTA1AQgAAAAFAAAAATEBAAAACy0yMDU5ODg2NjEyAwAAAAMxNjACAAAAAjI4BAAAAAEwBwAAAAkzLzI3LzIwMjMIAAAACjEyLzMxLzIwMjIJAAAAATDV0T54EC/bCDgqYvUVL9sILENJUS5XRU4uSVFfR1JPU1NfTUFSR0lOLjIwMDAuMy8yNy8yMDIzLi4uVVNEAQAAAAVcAAACAAAABzM0LjM5NTMBCAAAAAUAAAABMQEAAAALLTIwNTkwNTM0NTQDAAAAAzE2MAIAAAAENDA3NAQAAAABMAcAAAAJMy8yNy8yMDIzCAAAAAgxLzEvMjAyMwkAAAABMNXRPngQL9sIOCpi9RUv2wgtQ0lRLldFTi5JUV9FQklUREFfTUFSR0lOLjIwMDAuMy8yNy8yMDIzLi4uVVNEAQAAAAVcAAACAAAABzIyLjM4MzMBCAAAAAUAAAABMQEAAAALLTIwNTkwNTM0NTQDAAAAAzE2MAIAAAAENDA0NwQAAAABMAcAAAAJMy8yNy8yMDIzCAAAAAgxLzEvMjAyMwkAAAABMNXRPngQL9sI</t>
  </si>
  <si>
    <t>OCpi9RUv2wglQ0lRLlFTUi5JUV9VRkNGX01BUkdJTi4yMDAwLjMvMjcvMjAyMwEAAACNiAwAAgAAAAcyMy45NzE5AQgAAAAFAAAAATEBAAAACy0yMDU5ODg2NjEyAwAAAAMxNjACAAAABDQ0MzcEAAAAATAHAAAACTMvMjcvMjAyMwgAAAAKMTIvMzEvMjAyMgkAAAABMNXRPngQL9sIOCpi9RUv2wgtQ0lRLkNNRy5JUV9FQklUREFfTUFSR0lOLjIwMDAuMy8yNy8yMDIzLi4uVVNEAQAAAE5nAAACAAAABzE3LjAwNTUBCAAAAAUAAAABMQEAAAALLTIwNjE4NjU4NTkDAAAAAzE2MAIAAAAENDA0NwQAAAABMAcAAAAJMy8yNy8yMDIzCAAAAAoxMi8zMS8yMDIyCQAAAAEw1dE+eBAv2wg4KmL1FS/bCCxDSVEuWVVNLklRX0dST1NTX01BUkdJTi4yMDAwLjMvMjcvMjAyMy4uLlVTRAEAAACtlQUAAgAAAAc0OC4zMzM4AQgAAAAFAAAAATEBAAAACy0yMDU5MzgwMjY0AwAAAAMxNjACAAAABDQwNzQEAAAAATAHAAAACTMvMjcvMjAyMwgAAAAKMTIvMzEvMjAyMgkAAAABMNXRPngQL9sIOCpi9RUv2wgtQ0lRLllVTS5JUV9FQklUREFfTUFSR0lOLjIwMDAuMy8yNy8yMDIzLi4uVVNEAQAAAK2VBQACAAAABzM0LjAyNTEBCAAAAAUAAAABMQEAAAALLTIwNTkzODAyNjQDAAAAAzE2MAIAAAAENDA0NwQAAAABMAcAAAAJMy8yNy8yMDIzCAAAAAoxMi8zMS8yMDIyCQAAAAEw1dE+eBAv2wg4KmL1FS/bCClDSVEuV0VOLklRX1RP</t>
  </si>
  <si>
    <t>VEFMX1JFVi4yMDAwLjMvMjcvMjAyMy4uLlVTRAEAAAAFXAAAAgAAAAgyMDk1LjUwNQEIAAAABQAAAAExAQAAAAstMjA1OTA1MzQ1NAMAAAADMTYwAgAAAAIyOAQAAAABMAcAAAAJMy8yNy8yMDIzCAAAAAgxLzEvMjAyMwkAAAABMNXRPngQL9sIOCpi9RUv2wgtQ0lRLlFTUi5JUV9FQklUREFfTUFSR0lOLjIwMDAuMy8yNy8yMDIzLi4uVVNEAQAAAI2IDAACAAAABzM0LjAxOTkBCAAAAAUAAAABMQEAAAALLTIwNTk4ODY2MTIDAAAAAzE2MAIAAAAENDA0NwQAAAABMAcAAAAJMy8yNy8yMDIzCAAAAAoxMi8zMS8yMDIyCQAAAAEw1dE+eBAv2wg4KmL1FS/bCCpDSVEuTUNELklRX1RPVEFMX0RFQlQuMjAwMC4zLzI3LzIwMjMuLi5VU0QBAAAA4CACAAIAAAAHNDg3OTAuNQEIAAAABQAAAAExAQAAAAstMjA1OTU2ODYwMAMAAAADMTYwAgAAAAQ0MTczBAAAAAEwBwAAAAkzLzI3LzIwMjMIAAAACjEyLzMxLzIwMjIJAAAAATDV0T54EC/bCDgqYvUVL9sILENJUS5RU1IuSVFfVE9UQUxfRVFVSVRZLjIwMDAuMy8yNy8yMDIzLi4uVVNEAQAAAI2IDAACAAAABDQyNjgBCAAAAAUAAAABMQEAAAALLTIwNTk4ODY2MTIDAAAAAzE2MAIAAAAEMTI3NQQAAAABMAcAAAAJMy8yNy8yMDIzCAAAAAoxMi8zMS8yMDIyCQAAAAEw1dE+eBAv2wg4KmL1FS/bCCxDSVEuTUNELklRX1RPVEFMX0VRVUlUWS4yMDAwLjMvMjcvMjAyMy4u</t>
  </si>
  <si>
    <t>LlVTRAEAAADgIAIAAgAAAActNjAwMy40AQgAAAAFAAAAATEBAAAACy0yMDU5NTY4NjAwAwAAAAMxNjACAAAABDEyNzUEAAAAATAHAAAACTMvMjcvMjAyMwgAAAAKMTIvMzEvMjAyMgkAAAABMNXRPngQL9sIOCpi9RUv2wgqQ0lRLlFTUi5JUV9UT1RBTF9ERUJULjIwMDAuMy8yNy8yMDIzLi4uVVNEAQAAAI2IDAACAAAABTE0NDQxAQgAAAAFAAAAATEBAAAACy0yMDU5ODg2NjEyAwAAAAMxNjACAAAABDQxNzMEAAAAATAHAAAACTMvMjcvMjAyMwgAAAAKMTIvMzEvMjAyMgkAAAABMNXRPngQL9sIOCpi9RUv2wgqQ0lRLkRQWi5JUV9UT1RBTF9ERUJULjIwMDAuMy8yNy8yMDIzLi4uVVNEAQAAAGDMLwACAAAACDUyNTIuMzU0AQgAAAAFAAAAATEBAAAACy0yMDU5OTQ2NjQxAwAAAAMxNjACAAAABDQxNzMEAAAAATAHAAAACTMvMjcvMjAyMwgAAAAIMS8xLzIwMjMJAAAAATDV0T54EC/bCDgqYvUVL9sIKENJUS5EUFouSVFfTkVUX0RFQlQuMjAwMC4zLzI3LzIwMjMuLi5VU0QBAAAAYMwvAAIAAAAINTE5MS45OTgBCAAAAAUAAAABMQEAAAALLTIwNTk5NDY2NDEDAAAAAzE2MAIAAAAENDM2NAQAAAABMAcAAAAJMy8yNy8yMDIzCAAAAAgxLzEvMjAyMwkAAAABMNXRPngQL9sIOCpi9RUv2wgsQ0lRLkRQWi5JUV9UT1RBTF9FUVVJVFkuMjAwMC4zLzI3LzIwMjMuLi5VU0QBAAAAYMwvAAIAAAAJLTQxODkuMDY1AQgA</t>
  </si>
  <si>
    <t>AAAFAAAAATEBAAAACy0yMDU5OTQ2NjQxAwAAAAMxNjACAAAABDEyNzUEAAAAATAHAAAACTMvMjcvMjAyMwgAAAAIMS8xLzIwMjMJAAAAATDV0T54EC/bCDgqYvUVL9sIK0NJUS5TQlVYLklRX1RPVEFMX0RFQlQuMjAwMC4zLzI3LzIwMjMuLi5VU0QBAAAAuYcAAAIAAAAHMjM4NzIuOQEIAAAABQAAAAExAQAAAAstMjA2MjQ3Mjk2MwMAAAADMTYwAgAAAAQ0MTczBAAAAAEwBwAAAAkzLzI3LzIwMjMIAAAACDEvMS8yMDIzCQAAAAEw1dE+eBAv2wg4KmL1FS/bCCxDSVEuQ01HLklRX1RPVEFMX0VRVUlUWS4yMDAwLjMvMjcvMjAyMy4uLlVTRAEAAABOZwAAAgAAAAgyMzY4LjAyMwEIAAAABQAAAAExAQAAAAstMjA2MTg2NTg1OQMAAAADMTYwAgAAAAQxMjc1BAAAAAEwBwAAAAkzLzI3LzIwMjMIAAAACjEyLzMxLzIwMjIJAAAAATDV0T54EC/bCDgqYvUVL9sILUNJUS5TQlVYLklRX1RPVEFMX0VRVUlUWS4yMDAwLjMvMjcvMjAyMy4uLlVTRAEAAAC5hwAAAgAAAActODY2NS45AQgAAAAFAAAAATEBAAAACy0yMDYyNDcyOTYzAwAAAAMxNjACAAAABDEyNzUEAAAAATAHAAAACTMvMjcvMjAyMwgAAAAIMS8xLzIwMjMJAAAAATDV0T54EC/bCDgqYvUVL9sIKkNJUS5DTUcuSVFfVE9UQUxfREVCVC4yMDAwLjMvMjcvMjAyMy4uLlVTRAEAAABOZwAAAgAAAAczNzMxLjQxAQgAAAAFAAAAATEBAAAACy0yMDYxODY1ODU5</t>
  </si>
  <si>
    <t>AwAAAAMxNjACAAAABDQxNzMEAAAAATAHAAAACTMvMjcvMjAyMwgAAAAKMTIvMzEvMjAyMgkAAAABMNXRPngQL9sIOCpi9RUv2wgoQ0lRLlFTUi5JUV9ORVRfREVCVC4yMDAwLjMvMjcvMjAyMy4uLlVTRAEAAACNiAwAAgAAAAUxMzI2MwEIAAAABQAAAAExAQAAAAstMjA1OTg4NjYxMgMAAAADMTYwAgAAAAQ0MzY0BAAAAAEwBwAAAAkzLzI3LzIwMjMIAAAACjEyLzMxLzIwMjIJAAAAATDV0T54EC/bCDgqYvUVL9sIKENJUS5NQ0QuSVFfTkVUX0RFQlQuMjAwMC4zLzI3LzIwMjMuLi5VU0QBAAAA4CACAAIAAAAHNDYyMDYuNwEIAAAABQAAAAExAQAAAAstMjA1OTU2ODYwMAMAAAADMTYwAgAAAAQ0MzY0BAAAAAEwBwAAAAkzLzI3LzIwMjMIAAAACjEyLzMxLzIwMjIJAAAAATDV0T54EC/bCDgqYvUVL9sIKENJUS5XRU4uSVFfTkVUX0RFQlQuMjAwMC4zLzI3LzIwMjMuLi5VU0QBAAAABVwAAAIAAAAIMzUzNS45MjEBCAAAAAUAAAABMQEAAAALLTIwNTkwNTM0NTQDAAAAAzE2MAIAAAAENDM2NAQAAAABMAcAAAAJMy8yNy8yMDIzCAAAAAgxLzEvMjAyMwkAAAABMNXRPngQL9sIOCpi9RUv2wgqQ0lRLldFTi5JUV9UT1RBTF9ERUJULjIwMDAuMy8yNy8yMDIzLi4uVVNEAQAAAAVcAAACAAAABzQyODEuODEBCAAAAAUAAAABMQEAAAALLTIwNTkwNTM0NTQDAAAAAzE2MAIAAAAENDE3MwQAAAABMAcAAAAJMy8yNy8y</t>
  </si>
  <si>
    <t>MDIzCAAAAAgxLzEvMjAyMwkAAAABMNXRPngQL9sIOCpi9RUv2wgoQ0lRLkNNRy5JUV9ORVRfREVCVC4yMDAwLjMvMjcvMjAyMy4uLlVTRAEAAABOZwAAAgAAAAgyODMyLjI3NAEIAAAABQAAAAExAQAAAAstMjA2MTg2NTg1OQMAAAADMTYwAgAAAAQ0MzY0BAAAAAEwBwAAAAkzLzI3LzIwMjMIAAAACjEyLzMxLzIwMjIJAAAAATDV0T54EC/bCDgqYvUVL9sILENJUS5XRU4uSVFfVE9UQUxfRVFVSVRZLjIwMDAuMy8yNy8yMDIzLi4uVVNEAQAAAAVcAAACAAAABjQ2NS43MgEIAAAABQAAAAExAQAAAAstMjA1OTA1MzQ1NAMAAAADMTYwAgAAAAQxMjc1BAAAAAEwBwAAAAkzLzI3LzIwMjMIAAAACDEvMS8yMDIzCQAAAAEw1dE+eBAv2wg4KmL1FS/bCChDSVEuWVVNLklRX05FVF9ERUJULjIwMDAuMy8yNy8yMDIzLi4uVVNEAQAAAK2VBQACAAAABTEyMjY4AQgAAAAFAAAAATEBAAAACy0yMDU5MzgwMjY0AwAAAAMxNjACAAAABDQzNjQEAAAAATAHAAAACTMvMjcvMjAyMwgAAAAKMTIvMzEvMjAyMgkAAAABMNXRPngQL9sIOCpi9RUv2wgqQ0lRLllVTS5JUV9UT1RBTF9ERUJULjIwMDAuMy8yNy8yMDIzLi4uVVNEAQAAAK2VBQACAAAABTEyNjYxAQgAAAAFAAAAATEBAAAACy0yMDU5MzgwMjY0AwAAAAMxNjACAAAABDQxNzMEAAAAATAHAAAACTMvMjcvMjAyMwgAAAAKMTIvMzEvMjAyMgkAAAABMNXRPngQL9sIOCpi</t>
  </si>
  <si>
    <t>9RUv2wgsQ0lRLllVTS5JUV9UT1RBTF9FUVVJVFkuMjAwMC4zLzI3LzIwMjMuLi5VU0QBAAAArZUFAAIAAAAFLTg4NzYBCAAAAAUAAAABMQEAAAALLTIwNTkzODAyNjQDAAAAAzE2MAIAAAAEMTI3NQQAAAABMAcAAAAJMy8yNy8yMDIzCAAAAAoxMi8zMS8yMDIyCQAAAAEw1dE+eBAv2wg4KmL1FS/bCClDSVEuU0JVWC5JUV9ORVRfREVCVC4yMDAwLjMvMjcvMjAyMy4uLlVTRAEAAAC5hwAAAgAAAAcyMDU2Mi41AQgAAAAFAAAAATEBAAAACy0yMDYyNDcyOTYzAwAAAAMxNjACAAAABDQzNjQEAAAAATAHAAAACTMvMjcvMjAyMwgAAAAIMS8xLzIwMjMJAAAAATDV0T54EC/bCDgqYvUVL9sILkNJUS5RU1IuSVFfRkNGX01FRElBTl9FU1QuNjAwMC4zLzI3LzIwMjMuLi5VU0QBAAAAjYgMAAIAAAAEMTQyNQEOAAAABQAAAAIxMQEAAAABMAIAAAAKMTAwMTYzNDcyMwMAAAAGMTE0MjIzBAAAAAEyBgAAAAEwBwAAAAMxNjAIAAAAATAJAAAAATEKAAAAATALAAAACzEzMjA5ODI0MTA1DAAAAAIxMg0AAAAJMy8yOC8yMDIzEAAAAAkzLzI3LzIwMjPV0T54EC/bCALIX/UVL9sIK0NJUS5DTUcuSVFfUkVWRU5VRV9FU1QuNjAwMC4zLzI3LzIwMjMuLi5VU0QBAAAATmcAAAIAAAAKOTc5Ny43MDY5MwEOAAAABQAAAAIxMQEAAAABMAIAAAAKMTAwMDk0NDg5NAMAAAAGMTAwMTgwBAAAAAEyBgAAAAEwBwAAAAMxNjAIAAAAATAJ</t>
  </si>
  <si>
    <t>AAAAATEKAAAAATALAAAACzEzMjM5NDI1MjI1DAAAAAIxMg0AAAAJMy8yOC8yMDIzEAAAAAkzLzI3LzIwMjPV0T54EC/bCALIX/UVL9sIKkNJUS5RU1IuSVFfRUJJVERBX0VTVC42MDAwLjMvMjcvMjAyMy4uLlVTRAEAAACNiAwAAgAAAAoyNDYxLjAyNDg1AQ4AAAAFAAAAAjExAQAAAAEwAgAAAAoxMDAxNjM0NzIzAwAAAAYxMDAxODcEAAAAATIGAAAAATAHAAAAAzE2MAgAAAABMAkAAAABMQoAAAABMAsAAAALMTMyMzk1MzU3MTMMAAAAAjEyDQAAAAkzLzI4LzIwMjMQAAAACTMvMjcvMjAyM9XRPngQL9sIAshf9RUv2wgqQ0lRLkNNRy5JUV9FQklUREFfRVNULjYwMDAuMy8yNy8yMDIzLi4uVVNEAQAAAE5nAAACAAAACjE4NTUuNTU5MTQBDgAAAAUAAAACMTEBAAAAATACAAAACjEwMDA5NDQ4OTQDAAAABjEwMDE4NwQAAAABMgYAAAABMAcAAAADMTYwCAAAAAEwCQAAAAExCgAAAAEwCwAAAAsxMzIzOTQyNTA2OAwAAAACMTINAAAACTMvMjgvMjAyMxAAAAAJMy8yNy8yMDIz1dE+eBAv2wgCyF/1FS/bCC5DSVEuRFBaLklRX0ZDRl9NRURJQU5fRVNULjYwMDAuMy8yNy8yMDIzLi4uVVNEAQAAAGDMLwACAAAABTQ3NS43AQ4AAAAFAAAAAjExAQAAAAEwAgAAAAoxMDAzOTcxODc3AwAAAAYxMTQyMjMEAAAAATIGAAAAATAHAAAAAzE2MAgAAAABMAkAAAABMQoAAAABMAsAAAALMTMyMjU4MjY2NjgMAAAAAjEyDQAA</t>
  </si>
  <si>
    <t>AAkzLzI4LzIwMjMQAAAACTMvMjcvMjAyM9XRPngQL9sIAshf9RUv2wgqQ0lRLk1DRC5JUV9FQklUREFfRVNULjYwMDAuMy8yNy8yMDIzLi4uVVNEAQAAAOAgAgACAAAACzEyOTc2LjEwMzc3AQ4AAAAFAAAAAjExAQAAAAEwAgAAAAoxMDAxOTc2MjU3AwAAAAYxMDAxODcEAAAAATIGAAAAATAHAAAAAzE2MAgAAAABMAkAAAABMQoAAAABMAsAAAALMTMyMzk0NDYzMzUMAAAAAjEyDQAAAAkzLzI4LzIwMjMQAAAACTMvMjcvMjAyM9XRPngQL9sIAshf9RUv2wgrQ0lRLlFTUi5JUV9SRVZFTlVFX0VTVC42MDAwLjMvMjcvMjAyMy4uLlVTRAEAAACNiAwAAgAAAAo2ODU4LjA4Nzk2AQ4AAAAFAAAAAjExAQAAAAEwAgAAAAoxMDAxNjM0NzIzAwAAAAYxMDAxODAEAAAAATIGAAAAATAHAAAAAzE2MAgAAAABMAkAAAABMQoAAAABMAsAAAALMTMyMzk1MzY3NTUMAAAAAjEyDQAAAAkzLzI4LzIwMjMQAAAACTMvMjcvMjAyM9XRPngQL9sIAshf9RUv2wgrQ0lRLldFTi5JUV9SRVZFTlVFX0VTVC42MDAwLjMvMjcvMjAyMy4uLlVTRAEAAAAFXAAAAgAAAAoyMjEyLjE1ODE5AQ4AAAAFAAAAAjExAQAAAAEwAgAAAAoxMDAxOTc2MTc5AwAAAAYxMDAxODAEAAAAATIGAAAAATAHAAAAAzE2MAgAAAABMAkAAAABMQoAAAABMAsAAAALMTMyMzk0MzI1NzUMAAAAAjEyDQAAAAkzLzI4LzIwMjMQAAAACTMvMjcvMjAyM9XRPngQL9sI</t>
  </si>
  <si>
    <t>Ashf9RUv2wguQ0lRLkNNRy5JUV9GQ0ZfTUVESUFOX0VTVC42MDAwLjMvMjcvMjAyMy4uLlVTRAEAAABOZwAAAgAAAAYxMDg5LjYBDgAAAAUAAAACMTEBAAAAATACAAAACjEwMDA5NDQ4OTQDAAAABjExNDIyMwQAAAABMgYAAAABMAcAAAADMTYwCAAAAAEwCQAAAAExCgAAAAEwCwAAAAsxMzIzOTQyMTYyNwwAAAACMTINAAAACTMvMjgvMjAyMxAAAAAJMy8yNy8yMDIz1dE+eBAv2wgCyF/1FS/bCCtDSVEuWVVNLklRX1JFVkVOVUVfRVNULjYwMDAuMy8yNy8yMDIzLi4uVVNEAQAAAK2VBQACAAAACTcyNzguNTEyOQEOAAAABQAAAAIxMQEAAAABMAIAAAAKMTAwMTk3NjQwMQMAAAAGMTAwMTgwBAAAAAEyBgAAAAEwBwAAAAMxNjAIAAAAATAJAAAAATEKAAAAATALAAAACzEzMjM5NTI3MDc0DAAAAAIxMg0AAAAJMy8yOC8yMDIzEAAAAAkzLzI3LzIwMjPV0T54EC/bCALIX/UVL9sIL0NJUS5TQlVYLklRX0ZDRl9NRURJQU5fRVNULjYwMDAuMy8yNy8yMDIzLi4uVVNEAQAAALmHAAACAAAABzMzNjQuNDUBDgAAAAUAAAACMTEBAAAAATACAAAACDM2Mjc1ODU0AwAAAAYxMTQyMjMEAAAAATIGAAAAATAHAAAAAzE2MAgAAAABMAkAAAABMQoAAAABMAsAAAALMTMxNzcwNTgyODYMAAAAAjEyDQAAAAkzLzI4LzIwMjMQAAAACTMvMjcvMjAyM9XRPngQL9sIAshf9RUv2wgrQ0lRLlNCVVguSVFfRUJJVERBX0VTVC42MDAw</t>
  </si>
  <si>
    <t>LjMvMjcvMjAyMy4uLlVTRAEAAAC5hwAAAgAAAAk3MzQyLjg5ODYBDgAAAAUAAAACMTEBAAAAATACAAAACDM2Mjc1ODU0AwAAAAYxMDAxODcEAAAAATIGAAAAATAHAAAAAzE2MAgAAAABMAkAAAABMQoAAAABMAsAAAALMTMyMzkwMzk4NzcMAAAAAjEyDQAAAAkzLzI4LzIwMjMQAAAACTMvMjcvMjAyM9XRPngQL9sIOCpi9RUv2wgrQ0lRLk1DRC5JUV9SRVZFTlVFX0VTVC42MDAwLjMvMjcvMjAyMy4uLlVTRAEAAADgIAIAAgAAAAsyNDM3NS4zOTc3NwEOAAAABQAAAAIxMQEAAAABMAIAAAAKMTAwMTk3NjI1NwMAAAAGMTAwMTgwBAAAAAEyBgAAAAEwBwAAAAMxNjAIAAAAATAJAAAAATEKAAAAATALAAAACzEzMjM5NDQ3MDAxDAAAAAIxMg0AAAAJMy8yOC8yMDIzEAAAAAkzLzI3LzIwMjPV0T54EC/bCDgqYvUVL9sILkNJUS5ZVU0uSVFfRkNGX01FRElBTl9FU1QuNjAwMC4zLzI3LzIwMjMuLi5VU0QBAAAArZUFAAIAAAAHMTQwNy41NQEOAAAABQAAAAIxMQEAAAABMAIAAAAKMTAwMTk3NjQwMQMAAAAGMTE0MjIzBAAAAAEyBgAAAAEwBwAAAAMxNjAIAAAAATAJAAAAATEKAAAAATALAAAACzEzMjAzOTAyMTUxDAAAAAIxMg0AAAAJMy8yOC8yMDIzEAAAAAkzLzI3LzIwMjPV0T54EC/bCDgqYvUVL9sILkNJUS5NQ0QuSVFfRkNGX01FRElBTl9FU1QuNjAwMC4zLzI3LzIwMjMuLi5VU0QBAAAA4CACAAIAAAAENzQ3</t>
  </si>
  <si>
    <t>NwEOAAAABQAAAAIxMQEAAAABMAIAAAAKMTAwMTk3NjI1NwMAAAAGMTE0MjIzBAAAAAEyBgAAAAEwBwAAAAMxNjAIAAAAATAJAAAAATEKAAAAATALAAAACzEzMjM5NDQyMTA3DAAAAAIxMg0AAAAJMy8yOC8yMDIzEAAAAAkzLzI3LzIwMjPV0T54EC/bCDgqYvUVL9sIKkNJUS5EUFouSVFfRUJJVERBX0VTVC42MDAwLjMvMjcvMjAyMy4uLlVTRAEAAABgzC8AAgAAAAg4NjkuMDg0OQEOAAAABQAAAAIxMQEAAAABMAIAAAAKMTAwMzk3MTg3NwMAAAAGMTAwMTg3BAAAAAEyBgAAAAEwBwAAAAMxNjAIAAAAATAJAAAAATEKAAAAATALAAAACzEzMjM5NTM3MTk5DAAAAAIxMg0AAAAJMy8yOC8yMDIzEAAAAAkzLzI3LzIwMjPV0T54EC/bCDgqYvUVL9sIKkNJUS5ZVU0uSVFfRUJJVERBX0VTVC42MDAwLjMvMjcvMjAyMy4uLlVTRAEAAACtlQUAAgAAAAoyNTYwLjAwMDc4AQ4AAAAFAAAAAjExAQAAAAEwAgAAAAoxMDAxOTc2NDAxAwAAAAYxMDAxODcEAAAAATIGAAAAATAHAAAAAzE2MAgAAAABMAkAAAABMQoAAAABMAsAAAALMTMyMzk1MjY1NTgMAAAAAjEyDQAAAAkzLzI4LzIwMjMQAAAACTMvMjcvMjAyM9XRPngQL9sIOCpi9RUv2wguQ0lRLldFTi5JUV9GQ0ZfTUVESUFOX0VTVC42MDAwLjMvMjcvMjAyMy4uLlVTRAEAAAAFXAAAAgAAAAcyNzQuMDQ5AQ4AAAAFAAAAAjExAQAAAAEwAgAAAAoxMDAxOTc2MTc5AwAA</t>
  </si>
  <si>
    <t>AAYxMTQyMjMEAAAAATIGAAAAATAHAAAAAzE2MAgAAAABMAkAAAABMQoAAAABMAsAAAALMTMyMzk0Mjc0MDUMAAAAAjEyDQAAAAkzLzI4LzIwMjMQAAAACTMvMjcvMjAyM9XRPngQL9sIOCpi9RUv2wgrQ0lRLkRQWi5JUV9SRVZFTlVFX0VTVC42MDAwLjMvMjcvMjAyMy4uLlVTRAEAAABgzC8AAgAAAAk0NjI3LjEyNDYBDgAAAAUAAAACMTEBAAAAATACAAAACjEwMDM5NzE4NzcDAAAABjEwMDE4MAQAAAABMgYAAAABMAcAAAADMTYwCAAAAAEwCQAAAAExCgAAAAEwCwAAAAsxMzIzOTUzNzMxMwwAAAACMTINAAAACTMvMjgvMjAyMxAAAAAJMy8yNy8yMDIz1dE+eBAv2wg4KmL1FS/bCCpDSVEuV0VOLklRX0VCSVREQV9FU1QuNjAwMC4zLzI3LzIwMjMuLi5VU0QBAAAABVwAAAIAAAAJNTM1Ljk3NzE4AQ4AAAAFAAAAAjExAQAAAAEwAgAAAAoxMDAxOTc2MTc5AwAAAAYxMDAxODcEAAAAATIGAAAAATAHAAAAAzE2MAgAAAABMAkAAAABMQoAAAABMAsAAAALMTMyMzk0MzI0NTQMAAAAAjEyDQAAAAkzLzI4LzIwMjMQAAAACTMvMjcvMjAyM9XRPngQL9sIOCpi9RUv2wgsQ0lRLlNCVVguSVFfUkVWRU5VRV9FU1QuNjAwMC4zLzI3LzIwMjMuLi5VU0QBAAAAuYcAAAIAAAAKMzcwMjUuNjk2OQEOAAAABQAAAAIxMQEAAAABMAIAAAAIMzYyNzU4NTQDAAAABjEwMDE4MAQAAAABMgYAAAABMAcAAAADMTYwCAAAAAEwCQAA</t>
  </si>
  <si>
    <t>AAExCgAAAAEwCwAAAAsxMzIzOTAzOTg3MAwAAAACMTINAAAACTMvMjgvMjAyMxAAAAAJMy8yNy8yMDIz1dE+eBAv2wg4KmL1FS/bCA==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</si>
</sst>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44" formatCode="_(&quot;$&quot;* #,##0.00_);_(&quot;$&quot;* \(#,##0.00\);_(&quot;$&quot;* &quot;-&quot;??_);_(@_)"/>
    <numFmt numFmtId="164" formatCode="####\A"/>
    <numFmt numFmtId="165" formatCode="####&quot;E&quot;"/>
    <numFmt numFmtId="166" formatCode="#,##0_);\(#,##0\);\-;"/>
    <numFmt numFmtId="167" formatCode="0.0%_);\(0.0%\);0.0%"/>
    <numFmt numFmtId="168" formatCode="0.0%;\(0.0%\);0.0%"/>
    <numFmt numFmtId="169" formatCode="0.0%_);\(0.0%\);0.0%_);"/>
    <numFmt numFmtId="170" formatCode="0&quot;E&quot;"/>
    <numFmt numFmtId="171" formatCode="#0.0%;\(#0.%\);#0.0%;"/>
    <numFmt numFmtId="172" formatCode="#,##0.0_);\(#,##0.0\);\-"/>
    <numFmt numFmtId="173" formatCode="[$$-409]#,##0.00_);\([$$-409]#,##0.00\)"/>
    <numFmt numFmtId="174" formatCode="#0.0%;\(#0.0%\)"/>
    <numFmt numFmtId="175" formatCode="#,##0.0\x;\(#,##0.0\x\);\-\x;@_%_)"/>
    <numFmt numFmtId="176" formatCode="0.0&quot;%&quot;;\(0.0&quot;%&quot;\)"/>
    <numFmt numFmtId="177" formatCode="#,##0.0_);\(#,##0.0\)"/>
    <numFmt numFmtId="178" formatCode="0.0%_);\(0.0%\)"/>
    <numFmt numFmtId="179" formatCode="#0.0%;\(#0.0%\);0.0%"/>
    <numFmt numFmtId="180" formatCode="#0.0\x"/>
    <numFmt numFmtId="181" formatCode="#,##0.00_);\(#,##0.00\);\-"/>
    <numFmt numFmtId="182" formatCode="#0.00000000000000000000%;\(#0.00000000000000000000%\);0.00000000000000000000%"/>
    <numFmt numFmtId="183" formatCode="0.000000000000000000000"/>
    <numFmt numFmtId="184" formatCode="0.0000000000000000000"/>
    <numFmt numFmtId="185" formatCode="0.00000000000000"/>
    <numFmt numFmtId="186" formatCode="0.0\x"/>
    <numFmt numFmtId="187" formatCode="0.0%"/>
    <numFmt numFmtId="188" formatCode="&quot;$&quot;0.00"/>
    <numFmt numFmtId="189" formatCode="_(* #,##0_);_(* \(#,##0\);_(* &quot;-&quot;??_);_(@_)"/>
    <numFmt numFmtId="190" formatCode="0\P"/>
  </numFmts>
  <fonts count="20">
    <font>
      <sz val="11"/>
      <color theme="1"/>
      <name val="Calibri"/>
      <scheme val="minor"/>
    </font>
    <font>
      <sz val="12"/>
      <color theme="1"/>
      <name val="Garamond"/>
    </font>
    <font>
      <sz val="12"/>
      <color theme="0"/>
      <name val="Garamond"/>
    </font>
    <font>
      <b/>
      <sz val="18"/>
      <color theme="1"/>
      <name val="Garamond"/>
    </font>
    <font>
      <b/>
      <sz val="12"/>
      <color theme="0"/>
      <name val="Garamond"/>
    </font>
    <font>
      <sz val="11"/>
      <name val="Calibri"/>
    </font>
    <font>
      <i/>
      <sz val="12"/>
      <color theme="1"/>
      <name val="Garamond"/>
    </font>
    <font>
      <b/>
      <sz val="12"/>
      <color theme="1"/>
      <name val="Garamond"/>
    </font>
    <font>
      <sz val="12"/>
      <color rgb="FF0000FF"/>
      <name val="Garamond"/>
    </font>
    <font>
      <b/>
      <sz val="12"/>
      <color rgb="FF0000FF"/>
      <name val="Garamond"/>
    </font>
    <font>
      <u/>
      <sz val="12"/>
      <color theme="0"/>
      <name val="Garamond"/>
    </font>
    <font>
      <b/>
      <u/>
      <sz val="12"/>
      <color theme="0"/>
      <name val="Garamond"/>
    </font>
    <font>
      <i/>
      <u/>
      <sz val="12"/>
      <color theme="0"/>
      <name val="Garamond"/>
    </font>
    <font>
      <b/>
      <i/>
      <sz val="12"/>
      <color theme="1"/>
      <name val="Garamond"/>
    </font>
    <font>
      <i/>
      <sz val="12"/>
      <color rgb="FF000000"/>
      <name val="Garamond"/>
    </font>
    <font>
      <sz val="11"/>
      <color theme="1"/>
      <name val="Calibri"/>
    </font>
    <font>
      <sz val="12"/>
      <color theme="1"/>
      <name val="Arial"/>
    </font>
    <font>
      <sz val="12"/>
      <color rgb="FF016342"/>
      <name val="Garamond"/>
    </font>
    <font>
      <b/>
      <sz val="17.100000000000001"/>
      <color theme="1"/>
      <name val="Garamond"/>
      <family val="1"/>
    </font>
    <font>
      <b/>
      <sz val="18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16342"/>
        <bgColor rgb="FF016342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FF0000"/>
        <bgColor rgb="FFFF0000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8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2" fillId="0" borderId="0" xfId="0" applyFont="1"/>
    <xf numFmtId="0" fontId="1" fillId="2" borderId="2" xfId="0" applyFont="1" applyFill="1" applyBorder="1"/>
    <xf numFmtId="0" fontId="1" fillId="0" borderId="3" xfId="0" applyFont="1" applyBorder="1"/>
    <xf numFmtId="164" fontId="4" fillId="3" borderId="2" xfId="0" applyNumberFormat="1" applyFont="1" applyFill="1" applyBorder="1"/>
    <xf numFmtId="164" fontId="4" fillId="3" borderId="7" xfId="0" applyNumberFormat="1" applyFont="1" applyFill="1" applyBorder="1"/>
    <xf numFmtId="165" fontId="4" fillId="3" borderId="2" xfId="0" applyNumberFormat="1" applyFont="1" applyFill="1" applyBorder="1"/>
    <xf numFmtId="0" fontId="6" fillId="0" borderId="0" xfId="0" applyFont="1"/>
    <xf numFmtId="166" fontId="7" fillId="4" borderId="2" xfId="0" applyNumberFormat="1" applyFont="1" applyFill="1" applyBorder="1"/>
    <xf numFmtId="166" fontId="7" fillId="4" borderId="7" xfId="0" applyNumberFormat="1" applyFont="1" applyFill="1" applyBorder="1"/>
    <xf numFmtId="166" fontId="8" fillId="2" borderId="2" xfId="0" applyNumberFormat="1" applyFont="1" applyFill="1" applyBorder="1"/>
    <xf numFmtId="166" fontId="8" fillId="2" borderId="7" xfId="0" applyNumberFormat="1" applyFont="1" applyFill="1" applyBorder="1"/>
    <xf numFmtId="166" fontId="1" fillId="2" borderId="2" xfId="0" applyNumberFormat="1" applyFont="1" applyFill="1" applyBorder="1"/>
    <xf numFmtId="166" fontId="8" fillId="0" borderId="3" xfId="0" applyNumberFormat="1" applyFont="1" applyBorder="1"/>
    <xf numFmtId="166" fontId="1" fillId="0" borderId="0" xfId="0" applyNumberFormat="1" applyFont="1"/>
    <xf numFmtId="166" fontId="1" fillId="0" borderId="3" xfId="0" applyNumberFormat="1" applyFont="1" applyBorder="1"/>
    <xf numFmtId="166" fontId="1" fillId="2" borderId="7" xfId="0" applyNumberFormat="1" applyFont="1" applyFill="1" applyBorder="1"/>
    <xf numFmtId="166" fontId="8" fillId="0" borderId="9" xfId="0" applyNumberFormat="1" applyFont="1" applyBorder="1"/>
    <xf numFmtId="166" fontId="8" fillId="0" borderId="10" xfId="0" applyNumberFormat="1" applyFont="1" applyBorder="1"/>
    <xf numFmtId="166" fontId="1" fillId="0" borderId="9" xfId="0" applyNumberFormat="1" applyFont="1" applyBorder="1"/>
    <xf numFmtId="166" fontId="1" fillId="0" borderId="10" xfId="0" applyNumberFormat="1" applyFont="1" applyBorder="1"/>
    <xf numFmtId="166" fontId="8" fillId="0" borderId="12" xfId="0" applyNumberFormat="1" applyFont="1" applyBorder="1"/>
    <xf numFmtId="166" fontId="8" fillId="0" borderId="13" xfId="0" applyNumberFormat="1" applyFont="1" applyBorder="1"/>
    <xf numFmtId="166" fontId="1" fillId="0" borderId="12" xfId="0" applyNumberFormat="1" applyFont="1" applyBorder="1"/>
    <xf numFmtId="166" fontId="1" fillId="0" borderId="13" xfId="0" applyNumberFormat="1" applyFont="1" applyBorder="1"/>
    <xf numFmtId="0" fontId="1" fillId="0" borderId="0" xfId="0" applyFont="1" applyAlignment="1">
      <alignment horizontal="center"/>
    </xf>
    <xf numFmtId="164" fontId="4" fillId="3" borderId="17" xfId="0" applyNumberFormat="1" applyFont="1" applyFill="1" applyBorder="1"/>
    <xf numFmtId="164" fontId="4" fillId="3" borderId="18" xfId="0" applyNumberFormat="1" applyFont="1" applyFill="1" applyBorder="1"/>
    <xf numFmtId="165" fontId="4" fillId="3" borderId="17" xfId="0" applyNumberFormat="1" applyFont="1" applyFill="1" applyBorder="1"/>
    <xf numFmtId="165" fontId="4" fillId="3" borderId="18" xfId="0" applyNumberFormat="1" applyFont="1" applyFill="1" applyBorder="1"/>
    <xf numFmtId="0" fontId="7" fillId="0" borderId="8" xfId="0" applyFont="1" applyBorder="1"/>
    <xf numFmtId="37" fontId="7" fillId="0" borderId="9" xfId="0" applyNumberFormat="1" applyFont="1" applyBorder="1"/>
    <xf numFmtId="37" fontId="7" fillId="0" borderId="10" xfId="0" applyNumberFormat="1" applyFont="1" applyBorder="1"/>
    <xf numFmtId="0" fontId="6" fillId="0" borderId="11" xfId="0" applyFont="1" applyBorder="1"/>
    <xf numFmtId="167" fontId="6" fillId="0" borderId="12" xfId="0" applyNumberFormat="1" applyFont="1" applyBorder="1"/>
    <xf numFmtId="167" fontId="6" fillId="0" borderId="13" xfId="0" applyNumberFormat="1" applyFont="1" applyBorder="1"/>
    <xf numFmtId="0" fontId="7" fillId="0" borderId="0" xfId="0" applyFont="1"/>
    <xf numFmtId="37" fontId="9" fillId="0" borderId="0" xfId="0" applyNumberFormat="1" applyFont="1"/>
    <xf numFmtId="37" fontId="9" fillId="0" borderId="3" xfId="0" applyNumberFormat="1" applyFont="1" applyBorder="1"/>
    <xf numFmtId="37" fontId="7" fillId="0" borderId="0" xfId="0" applyNumberFormat="1" applyFont="1"/>
    <xf numFmtId="0" fontId="7" fillId="0" borderId="0" xfId="0" applyFont="1" applyAlignment="1">
      <alignment horizontal="center"/>
    </xf>
    <xf numFmtId="168" fontId="6" fillId="0" borderId="0" xfId="0" applyNumberFormat="1" applyFont="1"/>
    <xf numFmtId="168" fontId="6" fillId="0" borderId="3" xfId="0" applyNumberFormat="1" applyFont="1" applyBorder="1"/>
    <xf numFmtId="0" fontId="1" fillId="0" borderId="0" xfId="0" applyFont="1" applyAlignment="1">
      <alignment horizontal="left"/>
    </xf>
    <xf numFmtId="168" fontId="6" fillId="5" borderId="2" xfId="0" applyNumberFormat="1" applyFont="1" applyFill="1" applyBorder="1"/>
    <xf numFmtId="39" fontId="7" fillId="0" borderId="9" xfId="0" applyNumberFormat="1" applyFont="1" applyBorder="1"/>
    <xf numFmtId="39" fontId="7" fillId="0" borderId="10" xfId="0" applyNumberFormat="1" applyFont="1" applyBorder="1"/>
    <xf numFmtId="0" fontId="1" fillId="0" borderId="1" xfId="0" applyFont="1" applyBorder="1" applyAlignment="1">
      <alignment horizontal="center"/>
    </xf>
    <xf numFmtId="37" fontId="9" fillId="0" borderId="12" xfId="0" applyNumberFormat="1" applyFont="1" applyBorder="1"/>
    <xf numFmtId="37" fontId="9" fillId="0" borderId="13" xfId="0" applyNumberFormat="1" applyFont="1" applyBorder="1"/>
    <xf numFmtId="37" fontId="7" fillId="0" borderId="12" xfId="0" applyNumberFormat="1" applyFont="1" applyBorder="1"/>
    <xf numFmtId="37" fontId="7" fillId="0" borderId="13" xfId="0" applyNumberFormat="1" applyFont="1" applyBorder="1"/>
    <xf numFmtId="37" fontId="7" fillId="0" borderId="3" xfId="0" applyNumberFormat="1" applyFont="1" applyBorder="1"/>
    <xf numFmtId="0" fontId="7" fillId="0" borderId="0" xfId="0" applyFont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7" fillId="0" borderId="9" xfId="0" applyFont="1" applyBorder="1"/>
    <xf numFmtId="166" fontId="7" fillId="0" borderId="9" xfId="0" applyNumberFormat="1" applyFont="1" applyBorder="1"/>
    <xf numFmtId="166" fontId="7" fillId="0" borderId="10" xfId="0" applyNumberFormat="1" applyFont="1" applyBorder="1"/>
    <xf numFmtId="4" fontId="11" fillId="2" borderId="2" xfId="0" applyNumberFormat="1" applyFont="1" applyFill="1" applyBorder="1" applyAlignment="1">
      <alignment horizontal="right"/>
    </xf>
    <xf numFmtId="0" fontId="6" fillId="0" borderId="12" xfId="0" applyFont="1" applyBorder="1"/>
    <xf numFmtId="169" fontId="6" fillId="0" borderId="12" xfId="0" applyNumberFormat="1" applyFont="1" applyBorder="1"/>
    <xf numFmtId="169" fontId="6" fillId="0" borderId="13" xfId="0" applyNumberFormat="1" applyFont="1" applyBorder="1"/>
    <xf numFmtId="4" fontId="12" fillId="2" borderId="2" xfId="0" applyNumberFormat="1" applyFont="1" applyFill="1" applyBorder="1" applyAlignment="1">
      <alignment horizontal="right"/>
    </xf>
    <xf numFmtId="166" fontId="7" fillId="0" borderId="0" xfId="0" applyNumberFormat="1" applyFont="1"/>
    <xf numFmtId="166" fontId="7" fillId="0" borderId="3" xfId="0" applyNumberFormat="1" applyFont="1" applyBorder="1"/>
    <xf numFmtId="169" fontId="6" fillId="0" borderId="0" xfId="0" applyNumberFormat="1" applyFont="1"/>
    <xf numFmtId="169" fontId="6" fillId="0" borderId="3" xfId="0" applyNumberFormat="1" applyFont="1" applyBorder="1"/>
    <xf numFmtId="169" fontId="1" fillId="0" borderId="0" xfId="0" applyNumberFormat="1" applyFont="1"/>
    <xf numFmtId="169" fontId="6" fillId="6" borderId="2" xfId="0" applyNumberFormat="1" applyFont="1" applyFill="1" applyBorder="1"/>
    <xf numFmtId="170" fontId="4" fillId="3" borderId="20" xfId="0" applyNumberFormat="1" applyFont="1" applyFill="1" applyBorder="1"/>
    <xf numFmtId="170" fontId="4" fillId="3" borderId="17" xfId="0" applyNumberFormat="1" applyFont="1" applyFill="1" applyBorder="1"/>
    <xf numFmtId="166" fontId="8" fillId="0" borderId="0" xfId="0" applyNumberFormat="1" applyFont="1"/>
    <xf numFmtId="0" fontId="4" fillId="0" borderId="0" xfId="0" applyFont="1"/>
    <xf numFmtId="166" fontId="4" fillId="3" borderId="17" xfId="0" applyNumberFormat="1" applyFont="1" applyFill="1" applyBorder="1"/>
    <xf numFmtId="166" fontId="4" fillId="3" borderId="18" xfId="0" applyNumberFormat="1" applyFont="1" applyFill="1" applyBorder="1"/>
    <xf numFmtId="0" fontId="1" fillId="0" borderId="0" xfId="0" applyFont="1" applyAlignment="1">
      <alignment horizontal="center" vertical="center" wrapText="1"/>
    </xf>
    <xf numFmtId="171" fontId="6" fillId="0" borderId="9" xfId="0" applyNumberFormat="1" applyFont="1" applyBorder="1"/>
    <xf numFmtId="171" fontId="6" fillId="0" borderId="10" xfId="0" applyNumberFormat="1" applyFont="1" applyBorder="1"/>
    <xf numFmtId="171" fontId="6" fillId="0" borderId="8" xfId="0" applyNumberFormat="1" applyFont="1" applyBorder="1"/>
    <xf numFmtId="172" fontId="1" fillId="0" borderId="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71" fontId="6" fillId="0" borderId="0" xfId="0" applyNumberFormat="1" applyFont="1"/>
    <xf numFmtId="171" fontId="6" fillId="0" borderId="3" xfId="0" applyNumberFormat="1" applyFont="1" applyBorder="1"/>
    <xf numFmtId="171" fontId="6" fillId="0" borderId="21" xfId="0" applyNumberFormat="1" applyFont="1" applyBorder="1"/>
    <xf numFmtId="171" fontId="6" fillId="0" borderId="12" xfId="0" applyNumberFormat="1" applyFont="1" applyBorder="1"/>
    <xf numFmtId="171" fontId="6" fillId="0" borderId="13" xfId="0" applyNumberFormat="1" applyFont="1" applyBorder="1"/>
    <xf numFmtId="171" fontId="6" fillId="0" borderId="11" xfId="0" applyNumberFormat="1" applyFont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22" xfId="0" applyFont="1" applyFill="1" applyBorder="1"/>
    <xf numFmtId="0" fontId="13" fillId="4" borderId="22" xfId="0" applyFont="1" applyFill="1" applyBorder="1"/>
    <xf numFmtId="0" fontId="13" fillId="4" borderId="26" xfId="0" applyFont="1" applyFill="1" applyBorder="1"/>
    <xf numFmtId="0" fontId="6" fillId="7" borderId="22" xfId="0" applyFont="1" applyFill="1" applyBorder="1" applyAlignment="1">
      <alignment horizontal="right" vertical="center"/>
    </xf>
    <xf numFmtId="0" fontId="14" fillId="7" borderId="26" xfId="0" applyFont="1" applyFill="1" applyBorder="1" applyAlignment="1">
      <alignment horizontal="right"/>
    </xf>
    <xf numFmtId="0" fontId="14" fillId="7" borderId="22" xfId="0" applyFont="1" applyFill="1" applyBorder="1" applyAlignment="1">
      <alignment horizontal="right"/>
    </xf>
    <xf numFmtId="0" fontId="6" fillId="7" borderId="27" xfId="0" applyFont="1" applyFill="1" applyBorder="1" applyAlignment="1">
      <alignment horizontal="right" vertical="center"/>
    </xf>
    <xf numFmtId="0" fontId="6" fillId="7" borderId="28" xfId="0" applyFont="1" applyFill="1" applyBorder="1" applyAlignment="1">
      <alignment horizontal="right" vertical="center"/>
    </xf>
    <xf numFmtId="172" fontId="6" fillId="0" borderId="12" xfId="0" applyNumberFormat="1" applyFont="1" applyBorder="1"/>
    <xf numFmtId="172" fontId="6" fillId="0" borderId="13" xfId="0" applyNumberFormat="1" applyFont="1" applyBorder="1"/>
    <xf numFmtId="0" fontId="7" fillId="0" borderId="0" xfId="0" applyFont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1" fillId="0" borderId="0" xfId="0" applyNumberFormat="1" applyFont="1"/>
    <xf numFmtId="44" fontId="1" fillId="2" borderId="1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4" fillId="3" borderId="26" xfId="0" applyFont="1" applyFill="1" applyBorder="1" applyAlignment="1">
      <alignment horizontal="center"/>
    </xf>
    <xf numFmtId="0" fontId="4" fillId="3" borderId="30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2" xfId="0" applyFont="1" applyFill="1" applyBorder="1"/>
    <xf numFmtId="0" fontId="2" fillId="2" borderId="2" xfId="0" applyFont="1" applyFill="1" applyBorder="1"/>
    <xf numFmtId="173" fontId="1" fillId="2" borderId="22" xfId="0" applyNumberFormat="1" applyFont="1" applyFill="1" applyBorder="1" applyAlignment="1">
      <alignment horizontal="center"/>
    </xf>
    <xf numFmtId="37" fontId="1" fillId="2" borderId="22" xfId="0" applyNumberFormat="1" applyFont="1" applyFill="1" applyBorder="1" applyAlignment="1">
      <alignment horizontal="center"/>
    </xf>
    <xf numFmtId="174" fontId="1" fillId="2" borderId="22" xfId="0" applyNumberFormat="1" applyFont="1" applyFill="1" applyBorder="1" applyAlignment="1">
      <alignment horizontal="center"/>
    </xf>
    <xf numFmtId="175" fontId="1" fillId="2" borderId="22" xfId="0" applyNumberFormat="1" applyFont="1" applyFill="1" applyBorder="1" applyAlignment="1">
      <alignment horizontal="center"/>
    </xf>
    <xf numFmtId="175" fontId="1" fillId="2" borderId="26" xfId="0" applyNumberFormat="1" applyFont="1" applyFill="1" applyBorder="1" applyAlignment="1">
      <alignment horizontal="center"/>
    </xf>
    <xf numFmtId="173" fontId="1" fillId="4" borderId="2" xfId="0" applyNumberFormat="1" applyFont="1" applyFill="1" applyBorder="1" applyAlignment="1">
      <alignment horizontal="center"/>
    </xf>
    <xf numFmtId="37" fontId="1" fillId="4" borderId="2" xfId="0" applyNumberFormat="1" applyFont="1" applyFill="1" applyBorder="1" applyAlignment="1">
      <alignment horizontal="center"/>
    </xf>
    <xf numFmtId="174" fontId="1" fillId="4" borderId="2" xfId="0" applyNumberFormat="1" applyFont="1" applyFill="1" applyBorder="1" applyAlignment="1">
      <alignment horizontal="center"/>
    </xf>
    <xf numFmtId="175" fontId="1" fillId="4" borderId="2" xfId="0" applyNumberFormat="1" applyFont="1" applyFill="1" applyBorder="1" applyAlignment="1">
      <alignment horizontal="center"/>
    </xf>
    <xf numFmtId="175" fontId="1" fillId="4" borderId="7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174" fontId="1" fillId="2" borderId="2" xfId="0" applyNumberFormat="1" applyFont="1" applyFill="1" applyBorder="1" applyAlignment="1">
      <alignment horizontal="center"/>
    </xf>
    <xf numFmtId="175" fontId="1" fillId="2" borderId="2" xfId="0" applyNumberFormat="1" applyFont="1" applyFill="1" applyBorder="1" applyAlignment="1">
      <alignment horizontal="center"/>
    </xf>
    <xf numFmtId="175" fontId="1" fillId="2" borderId="7" xfId="0" applyNumberFormat="1" applyFont="1" applyFill="1" applyBorder="1" applyAlignment="1">
      <alignment horizontal="center"/>
    </xf>
    <xf numFmtId="173" fontId="1" fillId="4" borderId="27" xfId="0" applyNumberFormat="1" applyFont="1" applyFill="1" applyBorder="1" applyAlignment="1">
      <alignment horizontal="center"/>
    </xf>
    <xf numFmtId="37" fontId="1" fillId="4" borderId="27" xfId="0" applyNumberFormat="1" applyFont="1" applyFill="1" applyBorder="1" applyAlignment="1">
      <alignment horizontal="center"/>
    </xf>
    <xf numFmtId="174" fontId="1" fillId="4" borderId="27" xfId="0" applyNumberFormat="1" applyFont="1" applyFill="1" applyBorder="1" applyAlignment="1">
      <alignment horizontal="center"/>
    </xf>
    <xf numFmtId="175" fontId="1" fillId="4" borderId="27" xfId="0" applyNumberFormat="1" applyFont="1" applyFill="1" applyBorder="1" applyAlignment="1">
      <alignment horizontal="center"/>
    </xf>
    <xf numFmtId="175" fontId="1" fillId="4" borderId="28" xfId="0" applyNumberFormat="1" applyFont="1" applyFill="1" applyBorder="1" applyAlignment="1">
      <alignment horizontal="center"/>
    </xf>
    <xf numFmtId="0" fontId="1" fillId="0" borderId="15" xfId="0" applyFont="1" applyBorder="1"/>
    <xf numFmtId="37" fontId="1" fillId="0" borderId="15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3" fontId="4" fillId="3" borderId="17" xfId="0" applyNumberFormat="1" applyFont="1" applyFill="1" applyBorder="1" applyAlignment="1">
      <alignment horizontal="center"/>
    </xf>
    <xf numFmtId="37" fontId="4" fillId="3" borderId="17" xfId="0" applyNumberFormat="1" applyFont="1" applyFill="1" applyBorder="1" applyAlignment="1">
      <alignment horizontal="center"/>
    </xf>
    <xf numFmtId="174" fontId="4" fillId="3" borderId="17" xfId="0" applyNumberFormat="1" applyFont="1" applyFill="1" applyBorder="1" applyAlignment="1">
      <alignment horizontal="center"/>
    </xf>
    <xf numFmtId="175" fontId="4" fillId="3" borderId="17" xfId="0" applyNumberFormat="1" applyFont="1" applyFill="1" applyBorder="1" applyAlignment="1">
      <alignment horizontal="center"/>
    </xf>
    <xf numFmtId="173" fontId="1" fillId="4" borderId="22" xfId="0" applyNumberFormat="1" applyFont="1" applyFill="1" applyBorder="1" applyAlignment="1">
      <alignment horizontal="center"/>
    </xf>
    <xf numFmtId="37" fontId="1" fillId="4" borderId="22" xfId="0" applyNumberFormat="1" applyFont="1" applyFill="1" applyBorder="1" applyAlignment="1">
      <alignment horizontal="center"/>
    </xf>
    <xf numFmtId="174" fontId="1" fillId="4" borderId="22" xfId="0" applyNumberFormat="1" applyFont="1" applyFill="1" applyBorder="1" applyAlignment="1">
      <alignment horizontal="center"/>
    </xf>
    <xf numFmtId="175" fontId="1" fillId="4" borderId="22" xfId="0" applyNumberFormat="1" applyFont="1" applyFill="1" applyBorder="1" applyAlignment="1">
      <alignment horizontal="center"/>
    </xf>
    <xf numFmtId="175" fontId="1" fillId="4" borderId="26" xfId="0" applyNumberFormat="1" applyFont="1" applyFill="1" applyBorder="1" applyAlignment="1">
      <alignment horizontal="center"/>
    </xf>
    <xf numFmtId="173" fontId="1" fillId="2" borderId="27" xfId="0" applyNumberFormat="1" applyFont="1" applyFill="1" applyBorder="1" applyAlignment="1">
      <alignment horizontal="center"/>
    </xf>
    <xf numFmtId="37" fontId="1" fillId="2" borderId="27" xfId="0" applyNumberFormat="1" applyFont="1" applyFill="1" applyBorder="1" applyAlignment="1">
      <alignment horizontal="center"/>
    </xf>
    <xf numFmtId="174" fontId="1" fillId="2" borderId="27" xfId="0" applyNumberFormat="1" applyFont="1" applyFill="1" applyBorder="1" applyAlignment="1">
      <alignment horizontal="center"/>
    </xf>
    <xf numFmtId="175" fontId="1" fillId="2" borderId="27" xfId="0" applyNumberFormat="1" applyFont="1" applyFill="1" applyBorder="1" applyAlignment="1">
      <alignment horizontal="center"/>
    </xf>
    <xf numFmtId="175" fontId="1" fillId="2" borderId="28" xfId="0" applyNumberFormat="1" applyFont="1" applyFill="1" applyBorder="1" applyAlignment="1">
      <alignment horizontal="center"/>
    </xf>
    <xf numFmtId="37" fontId="1" fillId="2" borderId="2" xfId="0" applyNumberFormat="1" applyFont="1" applyFill="1" applyBorder="1"/>
    <xf numFmtId="176" fontId="1" fillId="2" borderId="2" xfId="0" applyNumberFormat="1" applyFont="1" applyFill="1" applyBorder="1" applyAlignment="1">
      <alignment horizontal="center"/>
    </xf>
    <xf numFmtId="0" fontId="4" fillId="3" borderId="20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175" fontId="1" fillId="0" borderId="3" xfId="0" applyNumberFormat="1" applyFont="1" applyBorder="1"/>
    <xf numFmtId="0" fontId="15" fillId="2" borderId="2" xfId="0" applyFont="1" applyFill="1" applyBorder="1"/>
    <xf numFmtId="37" fontId="1" fillId="0" borderId="3" xfId="0" applyNumberFormat="1" applyFont="1" applyBorder="1"/>
    <xf numFmtId="37" fontId="1" fillId="0" borderId="13" xfId="0" applyNumberFormat="1" applyFont="1" applyBorder="1"/>
    <xf numFmtId="177" fontId="1" fillId="0" borderId="3" xfId="0" applyNumberFormat="1" applyFont="1" applyBorder="1"/>
    <xf numFmtId="7" fontId="7" fillId="4" borderId="18" xfId="0" applyNumberFormat="1" applyFont="1" applyFill="1" applyBorder="1"/>
    <xf numFmtId="178" fontId="6" fillId="0" borderId="13" xfId="0" applyNumberFormat="1" applyFont="1" applyBorder="1"/>
    <xf numFmtId="0" fontId="16" fillId="0" borderId="0" xfId="0" applyFont="1" applyAlignment="1">
      <alignment horizontal="left" vertical="center" wrapText="1"/>
    </xf>
    <xf numFmtId="179" fontId="1" fillId="0" borderId="10" xfId="0" applyNumberFormat="1" applyFont="1" applyBorder="1"/>
    <xf numFmtId="9" fontId="1" fillId="0" borderId="13" xfId="0" applyNumberFormat="1" applyFont="1" applyBorder="1"/>
    <xf numFmtId="166" fontId="7" fillId="8" borderId="2" xfId="0" applyNumberFormat="1" applyFont="1" applyFill="1" applyBorder="1"/>
    <xf numFmtId="180" fontId="1" fillId="0" borderId="3" xfId="0" applyNumberFormat="1" applyFont="1" applyBorder="1"/>
    <xf numFmtId="179" fontId="1" fillId="0" borderId="3" xfId="0" applyNumberFormat="1" applyFont="1" applyBorder="1"/>
    <xf numFmtId="166" fontId="7" fillId="4" borderId="18" xfId="0" applyNumberFormat="1" applyFont="1" applyFill="1" applyBorder="1"/>
    <xf numFmtId="172" fontId="1" fillId="0" borderId="3" xfId="0" applyNumberFormat="1" applyFont="1" applyBorder="1"/>
    <xf numFmtId="181" fontId="1" fillId="0" borderId="3" xfId="0" applyNumberFormat="1" applyFont="1" applyBorder="1"/>
    <xf numFmtId="10" fontId="6" fillId="0" borderId="0" xfId="0" applyNumberFormat="1" applyFont="1"/>
    <xf numFmtId="179" fontId="7" fillId="4" borderId="18" xfId="0" applyNumberFormat="1" applyFont="1" applyFill="1" applyBorder="1"/>
    <xf numFmtId="179" fontId="1" fillId="0" borderId="40" xfId="0" applyNumberFormat="1" applyFont="1" applyBorder="1"/>
    <xf numFmtId="180" fontId="1" fillId="0" borderId="40" xfId="0" applyNumberFormat="1" applyFont="1" applyBorder="1"/>
    <xf numFmtId="44" fontId="7" fillId="4" borderId="18" xfId="0" applyNumberFormat="1" applyFont="1" applyFill="1" applyBorder="1"/>
    <xf numFmtId="179" fontId="6" fillId="0" borderId="13" xfId="0" applyNumberFormat="1" applyFont="1" applyBorder="1"/>
    <xf numFmtId="179" fontId="6" fillId="0" borderId="40" xfId="0" applyNumberFormat="1" applyFont="1" applyBorder="1"/>
    <xf numFmtId="44" fontId="1" fillId="0" borderId="10" xfId="0" applyNumberFormat="1" applyFont="1" applyBorder="1"/>
    <xf numFmtId="44" fontId="1" fillId="0" borderId="3" xfId="0" applyNumberFormat="1" applyFont="1" applyBorder="1"/>
    <xf numFmtId="182" fontId="6" fillId="0" borderId="0" xfId="0" applyNumberFormat="1" applyFont="1"/>
    <xf numFmtId="183" fontId="1" fillId="0" borderId="0" xfId="0" applyNumberFormat="1" applyFont="1"/>
    <xf numFmtId="184" fontId="1" fillId="0" borderId="0" xfId="0" applyNumberFormat="1" applyFont="1"/>
    <xf numFmtId="185" fontId="1" fillId="0" borderId="0" xfId="0" applyNumberFormat="1" applyFont="1"/>
    <xf numFmtId="44" fontId="17" fillId="3" borderId="41" xfId="0" applyNumberFormat="1" applyFont="1" applyFill="1" applyBorder="1"/>
    <xf numFmtId="186" fontId="4" fillId="3" borderId="17" xfId="0" applyNumberFormat="1" applyFont="1" applyFill="1" applyBorder="1" applyAlignment="1">
      <alignment horizontal="center"/>
    </xf>
    <xf numFmtId="186" fontId="4" fillId="3" borderId="22" xfId="0" applyNumberFormat="1" applyFont="1" applyFill="1" applyBorder="1" applyAlignment="1">
      <alignment horizontal="center"/>
    </xf>
    <xf numFmtId="186" fontId="4" fillId="3" borderId="26" xfId="0" applyNumberFormat="1" applyFont="1" applyFill="1" applyBorder="1" applyAlignment="1">
      <alignment horizontal="center"/>
    </xf>
    <xf numFmtId="187" fontId="4" fillId="3" borderId="42" xfId="0" applyNumberFormat="1" applyFont="1" applyFill="1" applyBorder="1"/>
    <xf numFmtId="188" fontId="1" fillId="0" borderId="8" xfId="0" applyNumberFormat="1" applyFont="1" applyBorder="1" applyAlignment="1">
      <alignment horizontal="center"/>
    </xf>
    <xf numFmtId="188" fontId="1" fillId="0" borderId="9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7" fontId="4" fillId="3" borderId="30" xfId="0" applyNumberFormat="1" applyFont="1" applyFill="1" applyBorder="1"/>
    <xf numFmtId="188" fontId="1" fillId="0" borderId="21" xfId="0" applyNumberFormat="1" applyFont="1" applyBorder="1" applyAlignment="1">
      <alignment horizontal="center"/>
    </xf>
    <xf numFmtId="188" fontId="1" fillId="4" borderId="41" xfId="0" applyNumberFormat="1" applyFont="1" applyFill="1" applyBorder="1" applyAlignment="1">
      <alignment horizontal="center"/>
    </xf>
    <xf numFmtId="188" fontId="1" fillId="4" borderId="22" xfId="0" applyNumberFormat="1" applyFont="1" applyFill="1" applyBorder="1" applyAlignment="1">
      <alignment horizontal="center"/>
    </xf>
    <xf numFmtId="188" fontId="1" fillId="4" borderId="26" xfId="0" applyNumberFormat="1" applyFont="1" applyFill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8" fontId="1" fillId="4" borderId="30" xfId="0" applyNumberFormat="1" applyFont="1" applyFill="1" applyBorder="1" applyAlignment="1">
      <alignment horizontal="center"/>
    </xf>
    <xf numFmtId="188" fontId="1" fillId="2" borderId="1" xfId="0" applyNumberFormat="1" applyFont="1" applyFill="1" applyBorder="1" applyAlignment="1">
      <alignment horizontal="center"/>
    </xf>
    <xf numFmtId="188" fontId="1" fillId="4" borderId="7" xfId="0" applyNumberFormat="1" applyFont="1" applyFill="1" applyBorder="1" applyAlignment="1">
      <alignment horizontal="center"/>
    </xf>
    <xf numFmtId="188" fontId="1" fillId="4" borderId="43" xfId="0" applyNumberFormat="1" applyFont="1" applyFill="1" applyBorder="1" applyAlignment="1">
      <alignment horizontal="center"/>
    </xf>
    <xf numFmtId="188" fontId="1" fillId="4" borderId="27" xfId="0" applyNumberFormat="1" applyFont="1" applyFill="1" applyBorder="1" applyAlignment="1">
      <alignment horizontal="center"/>
    </xf>
    <xf numFmtId="188" fontId="1" fillId="4" borderId="28" xfId="0" applyNumberFormat="1" applyFont="1" applyFill="1" applyBorder="1" applyAlignment="1">
      <alignment horizontal="center"/>
    </xf>
    <xf numFmtId="187" fontId="4" fillId="3" borderId="43" xfId="0" applyNumberFormat="1" applyFont="1" applyFill="1" applyBorder="1"/>
    <xf numFmtId="188" fontId="1" fillId="0" borderId="11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187" fontId="4" fillId="3" borderId="17" xfId="0" applyNumberFormat="1" applyFont="1" applyFill="1" applyBorder="1" applyAlignment="1">
      <alignment horizontal="center"/>
    </xf>
    <xf numFmtId="187" fontId="4" fillId="3" borderId="18" xfId="0" applyNumberFormat="1" applyFont="1" applyFill="1" applyBorder="1" applyAlignment="1">
      <alignment horizontal="center"/>
    </xf>
    <xf numFmtId="187" fontId="4" fillId="3" borderId="44" xfId="0" applyNumberFormat="1" applyFont="1" applyFill="1" applyBorder="1"/>
    <xf numFmtId="10" fontId="1" fillId="0" borderId="10" xfId="0" applyNumberFormat="1" applyFont="1" applyBorder="1"/>
    <xf numFmtId="9" fontId="1" fillId="0" borderId="3" xfId="0" applyNumberFormat="1" applyFont="1" applyBorder="1"/>
    <xf numFmtId="10" fontId="1" fillId="0" borderId="3" xfId="0" applyNumberFormat="1" applyFont="1" applyBorder="1"/>
    <xf numFmtId="2" fontId="1" fillId="0" borderId="3" xfId="0" applyNumberFormat="1" applyFont="1" applyBorder="1"/>
    <xf numFmtId="9" fontId="7" fillId="4" borderId="18" xfId="0" applyNumberFormat="1" applyFont="1" applyFill="1" applyBorder="1"/>
    <xf numFmtId="189" fontId="1" fillId="0" borderId="3" xfId="0" applyNumberFormat="1" applyFont="1" applyBorder="1"/>
    <xf numFmtId="0" fontId="4" fillId="9" borderId="17" xfId="0" applyFont="1" applyFill="1" applyBorder="1"/>
    <xf numFmtId="37" fontId="1" fillId="0" borderId="0" xfId="0" applyNumberFormat="1" applyFont="1"/>
    <xf numFmtId="9" fontId="1" fillId="0" borderId="0" xfId="0" applyNumberFormat="1" applyFont="1"/>
    <xf numFmtId="37" fontId="7" fillId="4" borderId="17" xfId="0" applyNumberFormat="1" applyFont="1" applyFill="1" applyBorder="1"/>
    <xf numFmtId="9" fontId="7" fillId="4" borderId="17" xfId="0" applyNumberFormat="1" applyFont="1" applyFill="1" applyBorder="1"/>
    <xf numFmtId="10" fontId="4" fillId="9" borderId="18" xfId="0" applyNumberFormat="1" applyFont="1" applyFill="1" applyBorder="1"/>
    <xf numFmtId="190" fontId="4" fillId="9" borderId="17" xfId="0" applyNumberFormat="1" applyFont="1" applyFill="1" applyBorder="1"/>
    <xf numFmtId="190" fontId="4" fillId="9" borderId="18" xfId="0" applyNumberFormat="1" applyFont="1" applyFill="1" applyBorder="1"/>
    <xf numFmtId="187" fontId="6" fillId="0" borderId="0" xfId="0" applyNumberFormat="1" applyFont="1"/>
    <xf numFmtId="187" fontId="6" fillId="0" borderId="3" xfId="0" applyNumberFormat="1" applyFont="1" applyBorder="1"/>
    <xf numFmtId="10" fontId="6" fillId="0" borderId="3" xfId="0" applyNumberFormat="1" applyFont="1" applyBorder="1"/>
    <xf numFmtId="0" fontId="1" fillId="0" borderId="0" xfId="0" applyFont="1"/>
    <xf numFmtId="0" fontId="0" fillId="0" borderId="0" xfId="0" applyFont="1" applyAlignment="1"/>
    <xf numFmtId="0" fontId="1" fillId="0" borderId="8" xfId="0" applyFont="1" applyBorder="1"/>
    <xf numFmtId="0" fontId="5" fillId="0" borderId="9" xfId="0" applyFont="1" applyBorder="1"/>
    <xf numFmtId="0" fontId="1" fillId="0" borderId="11" xfId="0" applyFont="1" applyBorder="1"/>
    <xf numFmtId="0" fontId="5" fillId="0" borderId="12" xfId="0" applyFont="1" applyBorder="1"/>
    <xf numFmtId="0" fontId="1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7" fillId="4" borderId="4" xfId="0" applyFont="1" applyFill="1" applyBorder="1"/>
    <xf numFmtId="0" fontId="3" fillId="0" borderId="0" xfId="0" applyFont="1" applyAlignment="1">
      <alignment horizontal="left" vertical="center"/>
    </xf>
    <xf numFmtId="0" fontId="4" fillId="3" borderId="4" xfId="0" applyFont="1" applyFill="1" applyBorder="1"/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8" xfId="0" applyFont="1" applyBorder="1"/>
    <xf numFmtId="0" fontId="7" fillId="0" borderId="11" xfId="0" applyFont="1" applyBorder="1"/>
    <xf numFmtId="0" fontId="4" fillId="3" borderId="14" xfId="0" applyFont="1" applyFill="1" applyBorder="1"/>
    <xf numFmtId="0" fontId="5" fillId="0" borderId="15" xfId="0" applyFont="1" applyBorder="1"/>
    <xf numFmtId="0" fontId="5" fillId="0" borderId="16" xfId="0" applyFont="1" applyBorder="1"/>
    <xf numFmtId="0" fontId="1" fillId="0" borderId="9" xfId="0" applyFont="1" applyBorder="1"/>
    <xf numFmtId="0" fontId="7" fillId="0" borderId="0" xfId="0" applyFont="1"/>
    <xf numFmtId="0" fontId="6" fillId="0" borderId="11" xfId="0" applyFont="1" applyBorder="1"/>
    <xf numFmtId="0" fontId="7" fillId="0" borderId="19" xfId="0" applyFont="1" applyBorder="1" applyAlignment="1">
      <alignment horizontal="center"/>
    </xf>
    <xf numFmtId="0" fontId="5" fillId="0" borderId="19" xfId="0" applyFont="1" applyBorder="1"/>
    <xf numFmtId="0" fontId="6" fillId="0" borderId="9" xfId="0" applyFont="1" applyBorder="1"/>
    <xf numFmtId="0" fontId="1" fillId="0" borderId="12" xfId="0" applyFont="1" applyBorder="1"/>
    <xf numFmtId="0" fontId="7" fillId="4" borderId="23" xfId="0" applyFont="1" applyFill="1" applyBorder="1" applyAlignment="1">
      <alignment horizontal="left"/>
    </xf>
    <xf numFmtId="0" fontId="5" fillId="0" borderId="24" xfId="0" applyFont="1" applyBorder="1"/>
    <xf numFmtId="0" fontId="5" fillId="0" borderId="25" xfId="0" applyFont="1" applyBorder="1"/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176" fontId="1" fillId="2" borderId="4" xfId="0" applyNumberFormat="1" applyFont="1" applyFill="1" applyBorder="1" applyAlignment="1">
      <alignment horizontal="center"/>
    </xf>
    <xf numFmtId="0" fontId="5" fillId="0" borderId="36" xfId="0" applyFont="1" applyBorder="1"/>
    <xf numFmtId="176" fontId="1" fillId="2" borderId="29" xfId="0" applyNumberFormat="1" applyFont="1" applyFill="1" applyBorder="1" applyAlignment="1">
      <alignment horizontal="center"/>
    </xf>
    <xf numFmtId="0" fontId="5" fillId="0" borderId="35" xfId="0" applyFont="1" applyBorder="1"/>
    <xf numFmtId="176" fontId="1" fillId="4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4" borderId="23" xfId="0" applyFont="1" applyFill="1" applyBorder="1"/>
    <xf numFmtId="0" fontId="1" fillId="2" borderId="31" xfId="0" applyFont="1" applyFill="1" applyBorder="1"/>
    <xf numFmtId="0" fontId="1" fillId="4" borderId="31" xfId="0" applyFont="1" applyFill="1" applyBorder="1"/>
    <xf numFmtId="0" fontId="1" fillId="2" borderId="32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4" fillId="3" borderId="23" xfId="0" applyFont="1" applyFill="1" applyBorder="1"/>
    <xf numFmtId="0" fontId="1" fillId="4" borderId="32" xfId="0" applyFont="1" applyFill="1" applyBorder="1"/>
    <xf numFmtId="0" fontId="4" fillId="3" borderId="29" xfId="0" applyFont="1" applyFill="1" applyBorder="1" applyAlignment="1">
      <alignment horizontal="center"/>
    </xf>
    <xf numFmtId="0" fontId="1" fillId="2" borderId="23" xfId="0" applyFont="1" applyFill="1" applyBorder="1"/>
    <xf numFmtId="0" fontId="5" fillId="0" borderId="40" xfId="0" applyFont="1" applyBorder="1"/>
    <xf numFmtId="0" fontId="7" fillId="0" borderId="21" xfId="0" applyFont="1" applyBorder="1"/>
    <xf numFmtId="0" fontId="1" fillId="0" borderId="21" xfId="0" applyFont="1" applyBorder="1"/>
    <xf numFmtId="0" fontId="7" fillId="4" borderId="14" xfId="0" applyFont="1" applyFill="1" applyBorder="1"/>
    <xf numFmtId="176" fontId="1" fillId="2" borderId="37" xfId="0" applyNumberFormat="1" applyFont="1" applyFill="1" applyBorder="1" applyAlignment="1">
      <alignment horizontal="center"/>
    </xf>
    <xf numFmtId="0" fontId="5" fillId="0" borderId="38" xfId="0" applyFont="1" applyBorder="1"/>
    <xf numFmtId="176" fontId="1" fillId="4" borderId="29" xfId="0" applyNumberFormat="1" applyFont="1" applyFill="1" applyBorder="1" applyAlignment="1">
      <alignment horizontal="center"/>
    </xf>
    <xf numFmtId="176" fontId="1" fillId="4" borderId="37" xfId="0" applyNumberFormat="1" applyFont="1" applyFill="1" applyBorder="1" applyAlignment="1">
      <alignment horizontal="center"/>
    </xf>
    <xf numFmtId="176" fontId="4" fillId="3" borderId="39" xfId="0" applyNumberFormat="1" applyFont="1" applyFill="1" applyBorder="1" applyAlignment="1">
      <alignment horizontal="center"/>
    </xf>
    <xf numFmtId="0" fontId="7" fillId="8" borderId="4" xfId="0" applyFont="1" applyFill="1" applyBorder="1"/>
    <xf numFmtId="0" fontId="7" fillId="0" borderId="0" xfId="0" applyFont="1" applyAlignment="1">
      <alignment horizontal="center" vertical="center"/>
    </xf>
    <xf numFmtId="0" fontId="6" fillId="0" borderId="14" xfId="0" applyFont="1" applyBorder="1"/>
    <xf numFmtId="0" fontId="4" fillId="3" borderId="14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/>
    <xf numFmtId="0" fontId="4" fillId="9" borderId="14" xfId="0" applyFont="1" applyFill="1" applyBorder="1"/>
    <xf numFmtId="10" fontId="1" fillId="0" borderId="0" xfId="0" applyNumberFormat="1" applyFont="1"/>
    <xf numFmtId="0" fontId="5" fillId="0" borderId="3" xfId="0" applyFont="1" applyBorder="1"/>
    <xf numFmtId="10" fontId="7" fillId="4" borderId="39" xfId="0" applyNumberFormat="1" applyFont="1" applyFill="1" applyBorder="1"/>
    <xf numFmtId="0" fontId="4" fillId="9" borderId="14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Border="1"/>
    <xf numFmtId="0" fontId="6" fillId="0" borderId="8" xfId="0" applyFont="1" applyBorder="1"/>
    <xf numFmtId="0" fontId="1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3</xdr:row>
      <xdr:rowOff>104775</xdr:rowOff>
    </xdr:from>
    <xdr:ext cx="3295650" cy="1390650"/>
    <xdr:pic>
      <xdr:nvPicPr>
        <xdr:cNvPr id="2" name="image1.jpg" descr="Starbucks Garner | Garner NC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1:A1000"/>
  <sheetViews>
    <sheetView showGridLines="0"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Z1000"/>
  <sheetViews>
    <sheetView showGridLines="0" topLeftCell="A34" workbookViewId="0">
      <selection activeCell="E11" sqref="E11"/>
    </sheetView>
  </sheetViews>
  <sheetFormatPr defaultColWidth="14.42578125" defaultRowHeight="15" customHeight="1"/>
  <cols>
    <col min="1" max="1" width="6.7109375" customWidth="1"/>
    <col min="2" max="26" width="17.85546875" customWidth="1"/>
  </cols>
  <sheetData>
    <row r="1" spans="1:26" ht="15.75" customHeight="1">
      <c r="A1" s="1"/>
      <c r="B1" s="266" t="s">
        <v>82</v>
      </c>
      <c r="C1" s="232"/>
      <c r="D1" s="232"/>
      <c r="E1" s="232"/>
      <c r="F1" s="232"/>
      <c r="G1" s="103"/>
      <c r="H1" s="10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32"/>
      <c r="C2" s="232"/>
      <c r="D2" s="232"/>
      <c r="E2" s="232"/>
      <c r="F2" s="232"/>
      <c r="G2" s="103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32"/>
      <c r="C3" s="232"/>
      <c r="D3" s="232"/>
      <c r="E3" s="232"/>
      <c r="F3" s="232"/>
      <c r="G3" s="103"/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31" t="s">
        <v>83</v>
      </c>
      <c r="C4" s="232"/>
      <c r="D4" s="23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 t="s">
        <v>84</v>
      </c>
      <c r="C6" s="104">
        <f ca="1">+TODAY()</f>
        <v>45012</v>
      </c>
      <c r="D6" s="10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 t="s">
        <v>85</v>
      </c>
      <c r="C7" s="106">
        <f ca="1">_xll.ciqfunctions.udf.CIQ($A$18, "IQ_CLOSEPRICE", C6, "USD")</f>
        <v>98.66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79" t="s">
        <v>86</v>
      </c>
      <c r="C9" s="258"/>
      <c r="D9" s="259"/>
      <c r="E9" s="93"/>
      <c r="F9" s="107"/>
      <c r="G9" s="107"/>
      <c r="H9" s="281" t="s">
        <v>87</v>
      </c>
      <c r="I9" s="259"/>
      <c r="J9" s="281" t="s">
        <v>88</v>
      </c>
      <c r="K9" s="259"/>
      <c r="L9" s="281" t="s">
        <v>89</v>
      </c>
      <c r="M9" s="259"/>
      <c r="N9" s="281" t="s">
        <v>90</v>
      </c>
      <c r="O9" s="259"/>
      <c r="P9" s="108" t="s">
        <v>91</v>
      </c>
      <c r="Q9" s="5"/>
      <c r="R9" s="5"/>
      <c r="S9" s="5"/>
      <c r="T9" s="5"/>
      <c r="U9" s="5"/>
      <c r="V9" s="1"/>
      <c r="W9" s="1"/>
      <c r="X9" s="1"/>
      <c r="Y9" s="1"/>
      <c r="Z9" s="1"/>
    </row>
    <row r="10" spans="1:26" ht="15.75" customHeight="1">
      <c r="A10" s="1"/>
      <c r="B10" s="109" t="s">
        <v>92</v>
      </c>
      <c r="C10" s="110"/>
      <c r="D10" s="110"/>
      <c r="E10" s="111" t="s">
        <v>2</v>
      </c>
      <c r="F10" s="111" t="s">
        <v>93</v>
      </c>
      <c r="G10" s="111" t="s">
        <v>94</v>
      </c>
      <c r="H10" s="111" t="s">
        <v>95</v>
      </c>
      <c r="I10" s="111" t="s">
        <v>96</v>
      </c>
      <c r="J10" s="111" t="s">
        <v>97</v>
      </c>
      <c r="K10" s="111" t="s">
        <v>98</v>
      </c>
      <c r="L10" s="111" t="s">
        <v>97</v>
      </c>
      <c r="M10" s="111" t="s">
        <v>98</v>
      </c>
      <c r="N10" s="111" t="s">
        <v>97</v>
      </c>
      <c r="O10" s="111" t="s">
        <v>98</v>
      </c>
      <c r="P10" s="112" t="s">
        <v>97</v>
      </c>
      <c r="Q10" s="113"/>
      <c r="R10" s="113"/>
      <c r="S10" s="113"/>
      <c r="T10" s="113"/>
      <c r="U10" s="113"/>
      <c r="V10" s="1"/>
      <c r="W10" s="1"/>
      <c r="X10" s="1"/>
      <c r="Y10" s="1"/>
      <c r="Z10" s="1"/>
    </row>
    <row r="11" spans="1:26" ht="15.75" customHeight="1">
      <c r="A11" s="114" t="s">
        <v>99</v>
      </c>
      <c r="B11" s="282" t="str">
        <f t="shared" ref="B11:B16" si="0">IFERROR(_xll.ciqfunctions.udf.CIQ(A11, "IQ_COMPANY_NAME"),B11)</f>
        <v>McDonald's Corporation</v>
      </c>
      <c r="C11" s="258"/>
      <c r="D11" s="259"/>
      <c r="E11" s="115">
        <f t="shared" ref="E11:E15" ca="1" si="1">_xll.ciqfunctions.udf.CIQ(A11, "IQ_CLOSEPRICE", $C$6, "USD")</f>
        <v>273.83999999999997</v>
      </c>
      <c r="F11" s="116">
        <f t="shared" ref="F11:F16" ca="1" si="2">IFERROR(_xll.ciqfunctions.udf.CIQ(A11, "IQ_MARKETCAP", $C$6, USD),F11)</f>
        <v>200313.12505999999</v>
      </c>
      <c r="G11" s="116">
        <f t="shared" ref="G11:G16" ca="1" si="3">IFERROR(_xll.ciqfunctions.udf.CIQ(A11, "IQ_TEV", $C$6, "USD"),G11)</f>
        <v>246519.82506</v>
      </c>
      <c r="H11" s="117">
        <f t="shared" ref="H11:H16" ca="1" si="4">IFERROR(_xll.ciqfunctions.udf.CIQ(A11, "IQ_TOTAL_DEBT", IQ_LTM, $C$6, , , "USD")/G11,H11)</f>
        <v>0.19791714515505993</v>
      </c>
      <c r="I11" s="117">
        <f t="shared" ref="I11:I16" ca="1" si="5">IFERROR(_xll.ciqfunctions.udf.CIQ(A11, "IQ_TOTAL_EQUITY", IQ_LTM, $C$6, , , "USD")/G11,I11)</f>
        <v>-2.4352605306850447E-2</v>
      </c>
      <c r="J11" s="118">
        <f t="shared" ref="J11:J16" ca="1" si="6">IFERROR(_xll.ciqfunctions.udf.CIQ(A11, "IQ_TEV_TOTAL_REV", IQ_LTM, $C$6),J11)</f>
        <v>10.63383</v>
      </c>
      <c r="K11" s="118">
        <f t="shared" ref="K11:K16" ca="1" si="7">IFERROR(_xll.ciqfunctions.udf.CIQ(A11, "IQ_TEV_TOTAL_REV_FWD", IQ_NTM, $C$6),K11)</f>
        <v>10.11347</v>
      </c>
      <c r="L11" s="118">
        <f t="shared" ref="L11:L16" ca="1" si="8">IFERROR(_xll.ciqfunctions.udf.CIQ(A11, "IQ_TEV_EBITDA", , $C$6),L11)</f>
        <v>17.857669999999999</v>
      </c>
      <c r="M11" s="118">
        <f t="shared" ref="M11:M16" ca="1" si="9">IFERROR(_xll.ciqfunctions.udf.CIQ(A11, "IQ_TEV_EBITDA_FWD_CIQ", IQ_NTM, $C$6),M11)</f>
        <v>18.997990000000001</v>
      </c>
      <c r="N11" s="118">
        <f t="shared" ref="N11:N16" ca="1" si="10">IFERROR(_xll.ciqfunctions.udf.CIQ(A11, "IQ_PE_NORMALIZED", IQ_LTM, $C$6),N11)</f>
        <v>36.443179999999998</v>
      </c>
      <c r="O11" s="118">
        <f t="shared" ref="O11:O16" ca="1" si="11">IFERROR(_xll.ciqfunctions.udf.CIQ(A11, "IQ_PE_EXCL_FWD", IQ_NTM, $C$6),O11)</f>
        <v>25.883900000000001</v>
      </c>
      <c r="P11" s="119">
        <f t="shared" ref="P11:P16" ca="1" si="12">IFERROR(_xll.ciqfunctions.udf.CIQ(A11, "IQ_NET_DEBT", IQ_LTM, $C$6, , , "USD")/G29,P11)</f>
        <v>3.7826595936277156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4" t="s">
        <v>100</v>
      </c>
      <c r="B12" s="275" t="str">
        <f t="shared" si="0"/>
        <v>Yum! Brands, Inc.</v>
      </c>
      <c r="C12" s="238"/>
      <c r="D12" s="239"/>
      <c r="E12" s="120">
        <f t="shared" ca="1" si="1"/>
        <v>128.29</v>
      </c>
      <c r="F12" s="121">
        <f t="shared" ca="1" si="2"/>
        <v>35935.03774</v>
      </c>
      <c r="G12" s="121">
        <f t="shared" ca="1" si="3"/>
        <v>48203.03774</v>
      </c>
      <c r="H12" s="122">
        <f t="shared" ca="1" si="4"/>
        <v>0.26265979476836182</v>
      </c>
      <c r="I12" s="122">
        <f t="shared" ca="1" si="5"/>
        <v>-0.18413777255856406</v>
      </c>
      <c r="J12" s="123">
        <f t="shared" ca="1" si="6"/>
        <v>7.0451699999999997</v>
      </c>
      <c r="K12" s="123">
        <f t="shared" ca="1" si="7"/>
        <v>6.6226500000000001</v>
      </c>
      <c r="L12" s="123">
        <f t="shared" ca="1" si="8"/>
        <v>20.034510000000001</v>
      </c>
      <c r="M12" s="123">
        <f t="shared" ca="1" si="9"/>
        <v>18.82931</v>
      </c>
      <c r="N12" s="123">
        <f t="shared" ca="1" si="10"/>
        <v>34.953949999999999</v>
      </c>
      <c r="O12" s="123">
        <f t="shared" ca="1" si="11"/>
        <v>24.844249999999999</v>
      </c>
      <c r="P12" s="124">
        <f t="shared" ca="1" si="12"/>
        <v>5.2697594501718212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14" t="s">
        <v>101</v>
      </c>
      <c r="B13" s="274" t="str">
        <f t="shared" si="0"/>
        <v>Chipotle Mexican Grill, Inc.</v>
      </c>
      <c r="C13" s="238"/>
      <c r="D13" s="239"/>
      <c r="E13" s="125">
        <f t="shared" ca="1" si="1"/>
        <v>1647.82</v>
      </c>
      <c r="F13" s="126">
        <f t="shared" ca="1" si="2"/>
        <v>45515.831919999997</v>
      </c>
      <c r="G13" s="126">
        <f t="shared" ca="1" si="3"/>
        <v>48348.105920000002</v>
      </c>
      <c r="H13" s="127">
        <f t="shared" ca="1" si="4"/>
        <v>7.7177997545017363E-2</v>
      </c>
      <c r="I13" s="127">
        <f t="shared" ca="1" si="5"/>
        <v>4.8978609501648084E-2</v>
      </c>
      <c r="J13" s="128">
        <f t="shared" ca="1" si="6"/>
        <v>5.59931</v>
      </c>
      <c r="K13" s="128">
        <f t="shared" ca="1" si="7"/>
        <v>4.9346300000000003</v>
      </c>
      <c r="L13" s="128">
        <f t="shared" ca="1" si="8"/>
        <v>24.625879999999999</v>
      </c>
      <c r="M13" s="128">
        <f t="shared" ca="1" si="9"/>
        <v>26.055820000000001</v>
      </c>
      <c r="N13" s="128">
        <f t="shared" ca="1" si="10"/>
        <v>61.824750000000002</v>
      </c>
      <c r="O13" s="128">
        <f t="shared" ca="1" si="11"/>
        <v>39.359929999999999</v>
      </c>
      <c r="P13" s="129">
        <f t="shared" ca="1" si="12"/>
        <v>1.9288584333082714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4" t="s">
        <v>102</v>
      </c>
      <c r="B14" s="275" t="str">
        <f t="shared" si="0"/>
        <v>Restaurant Brands International Inc.</v>
      </c>
      <c r="C14" s="238"/>
      <c r="D14" s="239"/>
      <c r="E14" s="120">
        <f t="shared" ca="1" si="1"/>
        <v>63.22</v>
      </c>
      <c r="F14" s="121">
        <f t="shared" ca="1" si="2"/>
        <v>19609.728289999999</v>
      </c>
      <c r="G14" s="121">
        <f t="shared" ca="1" si="3"/>
        <v>34641.728289999999</v>
      </c>
      <c r="H14" s="122">
        <f t="shared" ca="1" si="4"/>
        <v>0.41686719204967243</v>
      </c>
      <c r="I14" s="122">
        <f t="shared" ca="1" si="5"/>
        <v>0.12320401465743383</v>
      </c>
      <c r="J14" s="123">
        <f t="shared" ca="1" si="6"/>
        <v>5.3254000000000001</v>
      </c>
      <c r="K14" s="123">
        <f t="shared" ca="1" si="7"/>
        <v>5.0512199999999998</v>
      </c>
      <c r="L14" s="123">
        <f t="shared" ca="1" si="8"/>
        <v>15.97129</v>
      </c>
      <c r="M14" s="123">
        <f t="shared" ca="1" si="9"/>
        <v>14.076140000000001</v>
      </c>
      <c r="N14" s="123">
        <f t="shared" ca="1" si="10"/>
        <v>66.547370000000001</v>
      </c>
      <c r="O14" s="123">
        <f t="shared" ca="1" si="11"/>
        <v>20.803239999999999</v>
      </c>
      <c r="P14" s="124">
        <f t="shared" ca="1" si="12"/>
        <v>5.9932218707636693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14" t="s">
        <v>103</v>
      </c>
      <c r="B15" s="274" t="str">
        <f t="shared" si="0"/>
        <v>Domino's Pizza, Inc.</v>
      </c>
      <c r="C15" s="238"/>
      <c r="D15" s="239"/>
      <c r="E15" s="125">
        <f t="shared" ca="1" si="1"/>
        <v>322.22000000000003</v>
      </c>
      <c r="F15" s="126">
        <f t="shared" ca="1" si="2"/>
        <v>11413.529909999999</v>
      </c>
      <c r="G15" s="126">
        <f t="shared" ca="1" si="3"/>
        <v>16605.527910000001</v>
      </c>
      <c r="H15" s="127">
        <f t="shared" ca="1" si="4"/>
        <v>0.31630153696209712</v>
      </c>
      <c r="I15" s="127">
        <f t="shared" ca="1" si="5"/>
        <v>-0.25226930590248242</v>
      </c>
      <c r="J15" s="128">
        <f t="shared" ca="1" si="6"/>
        <v>3.6598999999999999</v>
      </c>
      <c r="K15" s="128">
        <f t="shared" ca="1" si="7"/>
        <v>3.58874</v>
      </c>
      <c r="L15" s="128">
        <f t="shared" ca="1" si="8"/>
        <v>18.377569999999999</v>
      </c>
      <c r="M15" s="128">
        <f t="shared" ca="1" si="9"/>
        <v>19.106909999999999</v>
      </c>
      <c r="N15" s="128">
        <f t="shared" ca="1" si="10"/>
        <v>32.2425</v>
      </c>
      <c r="O15" s="128">
        <f t="shared" ca="1" si="11"/>
        <v>24.80264</v>
      </c>
      <c r="P15" s="129">
        <f t="shared" ca="1" si="12"/>
        <v>6.3011519753002512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4" t="s">
        <v>104</v>
      </c>
      <c r="B16" s="280" t="str">
        <f t="shared" si="0"/>
        <v>The Wendy's Company</v>
      </c>
      <c r="C16" s="277"/>
      <c r="D16" s="278"/>
      <c r="E16" s="130">
        <f ca="1">IFERROR(_xll.ciqfunctions.udf.CIQ(A16, "IQ_CLOSEPRICE", $C$6, "USD"),E16)</f>
        <v>21.16</v>
      </c>
      <c r="F16" s="131">
        <f t="shared" ca="1" si="2"/>
        <v>4498.50497</v>
      </c>
      <c r="G16" s="131">
        <f t="shared" ca="1" si="3"/>
        <v>8034.4259700000002</v>
      </c>
      <c r="H16" s="132">
        <f t="shared" ca="1" si="4"/>
        <v>0.53293290846016728</v>
      </c>
      <c r="I16" s="132">
        <f t="shared" ca="1" si="5"/>
        <v>5.7965559921638064E-2</v>
      </c>
      <c r="J16" s="133">
        <f t="shared" ca="1" si="6"/>
        <v>3.83412</v>
      </c>
      <c r="K16" s="133">
        <f t="shared" ca="1" si="7"/>
        <v>3.6319400000000002</v>
      </c>
      <c r="L16" s="133">
        <f t="shared" ca="1" si="8"/>
        <v>15.92404</v>
      </c>
      <c r="M16" s="133">
        <f t="shared" ca="1" si="9"/>
        <v>14.99024</v>
      </c>
      <c r="N16" s="133">
        <f t="shared" ca="1" si="10"/>
        <v>31.063289999999999</v>
      </c>
      <c r="O16" s="133">
        <f t="shared" ca="1" si="11"/>
        <v>21.628910000000001</v>
      </c>
      <c r="P16" s="134">
        <f t="shared" ca="1" si="12"/>
        <v>7.5385538700977515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"/>
      <c r="B17" s="135"/>
      <c r="C17" s="135"/>
      <c r="D17" s="135"/>
      <c r="E17" s="135"/>
      <c r="F17" s="136"/>
      <c r="G17" s="136"/>
      <c r="H17" s="137"/>
      <c r="I17" s="137"/>
      <c r="J17" s="138"/>
      <c r="K17" s="138"/>
      <c r="L17" s="138"/>
      <c r="M17" s="138"/>
      <c r="N17" s="138"/>
      <c r="O17" s="138"/>
      <c r="P17" s="136"/>
      <c r="Q17" s="1"/>
      <c r="R17" s="1"/>
      <c r="S17" s="1"/>
      <c r="T17" s="1"/>
      <c r="U17" s="1"/>
      <c r="W17" s="1"/>
      <c r="X17" s="1"/>
      <c r="Y17" s="1"/>
      <c r="Z17" s="1"/>
    </row>
    <row r="18" spans="1:26" ht="15.75" customHeight="1">
      <c r="A18" s="4" t="s">
        <v>105</v>
      </c>
      <c r="B18" s="247" t="str">
        <f>_xll.ciqfunctions.udf.CIQ(A18, "IQ_COMPANY_NAME")</f>
        <v>Starbucks Corporation</v>
      </c>
      <c r="C18" s="248"/>
      <c r="D18" s="249"/>
      <c r="E18" s="139">
        <f ca="1">IFERROR(_xll.ciqfunctions.udf.CIQ(A18, "IQ_CLOSEPRICE", $C$6, "USD"),E18)</f>
        <v>98.66</v>
      </c>
      <c r="F18" s="140">
        <f ca="1">IFERROR(_xll.ciqfunctions.udf.CIQ(A18, "IQ_MARKETCAP", $C$6, USD),F18)</f>
        <v>113389.93799999999</v>
      </c>
      <c r="G18" s="140">
        <f ca="1">IFERROR(_xll.ciqfunctions.udf.CIQ(A18, "IQ_TEV", $C$6, "USD"),G18)</f>
        <v>133960.33799999999</v>
      </c>
      <c r="H18" s="141">
        <f ca="1">IFERROR(_xll.ciqfunctions.udf.CIQ(A18, "IQ_TOTAL_DEBT", IQ_LTM, $C$6, , , "USD")/G18,H18)</f>
        <v>0.178208717269734</v>
      </c>
      <c r="I18" s="141">
        <f ca="1">IFERROR(_xll.ciqfunctions.udf.CIQ(A18, "IQ_TOTAL_EQUITY", IQ_LTM, $C$6, , , "USD")/G18,I18)</f>
        <v>-6.4690042809536663E-2</v>
      </c>
      <c r="J18" s="142">
        <f ca="1">IFERROR(_xll.ciqfunctions.udf.CIQ(A18, "IQ_TEV_TOTAL_REV", IQ_LTM, $C$6),J18)</f>
        <v>4.0700399999999997</v>
      </c>
      <c r="K18" s="142">
        <f ca="1">IFERROR(_xll.ciqfunctions.udf.CIQ(A18, "IQ_TEV_TOTAL_REV_FWD", IQ_NTM, $C$6),K18)</f>
        <v>3.6180400000000001</v>
      </c>
      <c r="L18" s="142">
        <f ca="1">IFERROR(_xll.ciqfunctions.udf.CIQ(A18, "IQ_TEV_EBITDA", , $C$6),L18)</f>
        <v>14.99696</v>
      </c>
      <c r="M18" s="142">
        <f ca="1">IFERROR(_xll.ciqfunctions.udf.CIQ(A18, "IQ_TEV_EBITDA_FWD_CIQ", IQ_NTM, $C$6),M18)</f>
        <v>18.24352</v>
      </c>
      <c r="N18" s="142">
        <f ca="1">IFERROR(_xll.ciqfunctions.udf.CIQ(A18, "IQ_PE_NORMALIZED", IQ_LTM, $C$6),N18)</f>
        <v>41.573770000000003</v>
      </c>
      <c r="O18" s="142">
        <f ca="1">IFERROR(_xll.ciqfunctions.udf.CIQ(A18, "IQ_PE_EXCL_FWD", IQ_NTM, $C$6),O18)</f>
        <v>27.3721</v>
      </c>
      <c r="P18" s="142">
        <f ca="1">IFERROR(_xll.ciqfunctions.udf.CIQ(A18, "IQ_NET_DEBT", IQ_LTM, $C$6, , , "USD")/G36,P18)</f>
        <v>3.4267406592674066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73" t="s">
        <v>106</v>
      </c>
      <c r="C20" s="258"/>
      <c r="D20" s="259"/>
      <c r="E20" s="143">
        <f t="shared" ref="E20:P20" ca="1" si="13">MIN(E11:E18)</f>
        <v>21.16</v>
      </c>
      <c r="F20" s="144">
        <f t="shared" ca="1" si="13"/>
        <v>4498.50497</v>
      </c>
      <c r="G20" s="144">
        <f t="shared" ca="1" si="13"/>
        <v>8034.4259700000002</v>
      </c>
      <c r="H20" s="145">
        <f t="shared" ca="1" si="13"/>
        <v>7.7177997545017363E-2</v>
      </c>
      <c r="I20" s="145">
        <f t="shared" ca="1" si="13"/>
        <v>-0.25226930590248242</v>
      </c>
      <c r="J20" s="146">
        <f t="shared" ca="1" si="13"/>
        <v>3.6598999999999999</v>
      </c>
      <c r="K20" s="146">
        <f t="shared" ca="1" si="13"/>
        <v>3.58874</v>
      </c>
      <c r="L20" s="146">
        <f t="shared" ca="1" si="13"/>
        <v>14.99696</v>
      </c>
      <c r="M20" s="146">
        <f t="shared" ca="1" si="13"/>
        <v>14.076140000000001</v>
      </c>
      <c r="N20" s="146">
        <f t="shared" ca="1" si="13"/>
        <v>31.063289999999999</v>
      </c>
      <c r="O20" s="146">
        <f t="shared" ca="1" si="13"/>
        <v>20.803239999999999</v>
      </c>
      <c r="P20" s="147">
        <f t="shared" ca="1" si="13"/>
        <v>1.9288584333082714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74" t="s">
        <v>107</v>
      </c>
      <c r="C21" s="238"/>
      <c r="D21" s="239"/>
      <c r="E21" s="125">
        <f t="shared" ref="E21:P21" ca="1" si="14">_xlfn.PERCENTILE.EXC(E11:E18,0.25)</f>
        <v>63.22</v>
      </c>
      <c r="F21" s="126">
        <f t="shared" ca="1" si="14"/>
        <v>11413.529909999999</v>
      </c>
      <c r="G21" s="126">
        <f t="shared" ca="1" si="14"/>
        <v>16605.527910000001</v>
      </c>
      <c r="H21" s="127">
        <f t="shared" ca="1" si="14"/>
        <v>0.178208717269734</v>
      </c>
      <c r="I21" s="127">
        <f t="shared" ca="1" si="14"/>
        <v>-0.18413777255856406</v>
      </c>
      <c r="J21" s="128">
        <f t="shared" ca="1" si="14"/>
        <v>3.83412</v>
      </c>
      <c r="K21" s="128">
        <f t="shared" ca="1" si="14"/>
        <v>3.6180400000000001</v>
      </c>
      <c r="L21" s="128">
        <f t="shared" ca="1" si="14"/>
        <v>15.92404</v>
      </c>
      <c r="M21" s="128">
        <f t="shared" ca="1" si="14"/>
        <v>14.99024</v>
      </c>
      <c r="N21" s="128">
        <f t="shared" ca="1" si="14"/>
        <v>32.2425</v>
      </c>
      <c r="O21" s="128">
        <f t="shared" ca="1" si="14"/>
        <v>21.628910000000001</v>
      </c>
      <c r="P21" s="129">
        <f t="shared" ca="1" si="14"/>
        <v>3.4267406592674066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75" t="s">
        <v>108</v>
      </c>
      <c r="C22" s="238"/>
      <c r="D22" s="239"/>
      <c r="E22" s="120">
        <f t="shared" ref="E22:P22" ca="1" si="15">AVERAGE(E11:E18)</f>
        <v>365.02999999999986</v>
      </c>
      <c r="F22" s="121">
        <f t="shared" ca="1" si="15"/>
        <v>61525.09941285714</v>
      </c>
      <c r="G22" s="121">
        <f t="shared" ca="1" si="15"/>
        <v>76616.141269999993</v>
      </c>
      <c r="H22" s="122">
        <f t="shared" ca="1" si="15"/>
        <v>0.28315218460144431</v>
      </c>
      <c r="I22" s="122">
        <f t="shared" ca="1" si="15"/>
        <v>-4.2185934642387658E-2</v>
      </c>
      <c r="J22" s="123">
        <f t="shared" ca="1" si="15"/>
        <v>5.7382528571428564</v>
      </c>
      <c r="K22" s="123">
        <f t="shared" ca="1" si="15"/>
        <v>5.3658128571428572</v>
      </c>
      <c r="L22" s="123">
        <f t="shared" ca="1" si="15"/>
        <v>18.255417142857144</v>
      </c>
      <c r="M22" s="123">
        <f t="shared" ca="1" si="15"/>
        <v>18.614275714285714</v>
      </c>
      <c r="N22" s="123">
        <f t="shared" ca="1" si="15"/>
        <v>43.521258571428575</v>
      </c>
      <c r="O22" s="123">
        <f t="shared" ca="1" si="15"/>
        <v>26.384995714285711</v>
      </c>
      <c r="P22" s="124">
        <f t="shared" ca="1" si="15"/>
        <v>4.8915636932195552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74" t="s">
        <v>109</v>
      </c>
      <c r="C23" s="238"/>
      <c r="D23" s="239"/>
      <c r="E23" s="125">
        <f t="shared" ref="E23:P23" ca="1" si="16">MEDIAN(E11:E18)</f>
        <v>128.29</v>
      </c>
      <c r="F23" s="126">
        <f t="shared" ca="1" si="16"/>
        <v>35935.03774</v>
      </c>
      <c r="G23" s="126">
        <f t="shared" ca="1" si="16"/>
        <v>48203.03774</v>
      </c>
      <c r="H23" s="127">
        <f t="shared" ca="1" si="16"/>
        <v>0.26265979476836182</v>
      </c>
      <c r="I23" s="127">
        <f t="shared" ca="1" si="16"/>
        <v>-2.4352605306850447E-2</v>
      </c>
      <c r="J23" s="128">
        <f t="shared" ca="1" si="16"/>
        <v>5.3254000000000001</v>
      </c>
      <c r="K23" s="128">
        <f t="shared" ca="1" si="16"/>
        <v>4.9346300000000003</v>
      </c>
      <c r="L23" s="128">
        <f t="shared" ca="1" si="16"/>
        <v>17.857669999999999</v>
      </c>
      <c r="M23" s="128">
        <f t="shared" ca="1" si="16"/>
        <v>18.82931</v>
      </c>
      <c r="N23" s="128">
        <f t="shared" ca="1" si="16"/>
        <v>36.443179999999998</v>
      </c>
      <c r="O23" s="128">
        <f t="shared" ca="1" si="16"/>
        <v>24.844249999999999</v>
      </c>
      <c r="P23" s="129">
        <f t="shared" ca="1" si="16"/>
        <v>5.2697594501718212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5" t="s">
        <v>110</v>
      </c>
      <c r="C24" s="238"/>
      <c r="D24" s="239"/>
      <c r="E24" s="120">
        <f t="shared" ref="E24:P24" ca="1" si="17">_xlfn.PERCENTILE.EXC(E11:E18,0.75)</f>
        <v>322.22000000000003</v>
      </c>
      <c r="F24" s="121">
        <f t="shared" ca="1" si="17"/>
        <v>113389.93799999999</v>
      </c>
      <c r="G24" s="121">
        <f t="shared" ca="1" si="17"/>
        <v>133960.33799999999</v>
      </c>
      <c r="H24" s="122">
        <f t="shared" ca="1" si="17"/>
        <v>0.41686719204967243</v>
      </c>
      <c r="I24" s="122">
        <f t="shared" ca="1" si="17"/>
        <v>5.7965559921638064E-2</v>
      </c>
      <c r="J24" s="123">
        <f t="shared" ca="1" si="17"/>
        <v>7.0451699999999997</v>
      </c>
      <c r="K24" s="123">
        <f t="shared" ca="1" si="17"/>
        <v>6.6226500000000001</v>
      </c>
      <c r="L24" s="123">
        <f t="shared" ca="1" si="17"/>
        <v>20.034510000000001</v>
      </c>
      <c r="M24" s="123">
        <f t="shared" ca="1" si="17"/>
        <v>19.106909999999999</v>
      </c>
      <c r="N24" s="123">
        <f t="shared" ca="1" si="17"/>
        <v>61.824750000000002</v>
      </c>
      <c r="O24" s="123">
        <f t="shared" ca="1" si="17"/>
        <v>27.3721</v>
      </c>
      <c r="P24" s="124">
        <f t="shared" ca="1" si="17"/>
        <v>6.3011519753002512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6" t="s">
        <v>111</v>
      </c>
      <c r="C25" s="277"/>
      <c r="D25" s="278"/>
      <c r="E25" s="148">
        <f t="shared" ref="E25:P25" ca="1" si="18">MAX(E11:E18)</f>
        <v>1647.82</v>
      </c>
      <c r="F25" s="149">
        <f t="shared" ca="1" si="18"/>
        <v>200313.12505999999</v>
      </c>
      <c r="G25" s="149">
        <f t="shared" ca="1" si="18"/>
        <v>246519.82506</v>
      </c>
      <c r="H25" s="150">
        <f t="shared" ca="1" si="18"/>
        <v>0.53293290846016728</v>
      </c>
      <c r="I25" s="150">
        <f t="shared" ca="1" si="18"/>
        <v>0.12320401465743383</v>
      </c>
      <c r="J25" s="151">
        <f t="shared" ca="1" si="18"/>
        <v>10.63383</v>
      </c>
      <c r="K25" s="151">
        <f t="shared" ca="1" si="18"/>
        <v>10.11347</v>
      </c>
      <c r="L25" s="151">
        <f t="shared" ca="1" si="18"/>
        <v>24.625879999999999</v>
      </c>
      <c r="M25" s="151">
        <f t="shared" ca="1" si="18"/>
        <v>26.055820000000001</v>
      </c>
      <c r="N25" s="151">
        <f t="shared" ca="1" si="18"/>
        <v>66.547370000000001</v>
      </c>
      <c r="O25" s="151">
        <f t="shared" ca="1" si="18"/>
        <v>39.359929999999999</v>
      </c>
      <c r="P25" s="152">
        <f t="shared" ca="1" si="18"/>
        <v>7.5385538700977515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79" t="s">
        <v>112</v>
      </c>
      <c r="C27" s="258"/>
      <c r="D27" s="259"/>
      <c r="E27" s="281" t="s">
        <v>66</v>
      </c>
      <c r="F27" s="259"/>
      <c r="G27" s="281" t="s">
        <v>24</v>
      </c>
      <c r="H27" s="259"/>
      <c r="I27" s="281" t="s">
        <v>113</v>
      </c>
      <c r="J27" s="259"/>
      <c r="K27" s="281" t="s">
        <v>114</v>
      </c>
      <c r="L27" s="258"/>
      <c r="M27" s="258"/>
      <c r="N27" s="258"/>
      <c r="O27" s="258"/>
      <c r="P27" s="27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09" t="s">
        <v>92</v>
      </c>
      <c r="C28" s="110"/>
      <c r="D28" s="110"/>
      <c r="E28" s="111" t="s">
        <v>97</v>
      </c>
      <c r="F28" s="111" t="s">
        <v>98</v>
      </c>
      <c r="G28" s="111" t="s">
        <v>97</v>
      </c>
      <c r="H28" s="111" t="s">
        <v>98</v>
      </c>
      <c r="I28" s="111" t="s">
        <v>97</v>
      </c>
      <c r="J28" s="111" t="s">
        <v>98</v>
      </c>
      <c r="K28" s="272" t="s">
        <v>115</v>
      </c>
      <c r="L28" s="239"/>
      <c r="M28" s="272" t="s">
        <v>24</v>
      </c>
      <c r="N28" s="239"/>
      <c r="O28" s="272" t="s">
        <v>113</v>
      </c>
      <c r="P28" s="26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82" t="str">
        <f t="shared" ref="B29:B34" si="19">B11</f>
        <v>McDonald's Corporation</v>
      </c>
      <c r="C29" s="258"/>
      <c r="D29" s="259"/>
      <c r="E29" s="116">
        <f t="shared" ref="E29:E34" ca="1" si="20">IFERROR(_xll.ciqfunctions.udf.CIQ(A11, "IQ_TOTAL_REV", IQ_LTM, $C$6, , , "USD"),E29)</f>
        <v>23182.6</v>
      </c>
      <c r="F29" s="116">
        <f t="shared" ref="F29:F34" ca="1" si="21">IFERROR(_xll.ciqfunctions.udf.CIQ(A11, "IQ_REVENUE_EST", IQ_NTM, $C$6, , , "USD"),F29)</f>
        <v>24375.39777</v>
      </c>
      <c r="G29" s="116">
        <f t="shared" ref="G29:G34" ca="1" si="22">IFERROR(_xll.ciqfunctions.udf.CIQ(A11, "IQ_EBITDA", IQ_LTM, $C$6, , , "USD"),G29)</f>
        <v>12215.4</v>
      </c>
      <c r="H29" s="116">
        <f t="shared" ref="H29:H34" ca="1" si="23">IFERROR(_xll.ciqfunctions.udf.CIQ(A11, "IQ_EBITDA_EST", IQ_NTM, $C$6, , , "USD"),H29)</f>
        <v>12976.10377</v>
      </c>
      <c r="I29" s="116">
        <f t="shared" ref="I29:I34" ca="1" si="24">IFERROR(_xll.ciqfunctions.udf.CIQ(A11, "IQ_UNLEVERED_FCF", IQ_LTM, $C$6, , , "USD"),I29)</f>
        <v>6028.7</v>
      </c>
      <c r="J29" s="116">
        <f t="shared" ref="J29:J34" ca="1" si="25">IFERROR(_xll.ciqfunctions.udf.CIQ(A11, "IQ_FCF_MEDIAN_EST", IQ_NTM, $C$6, , , "USD"),J29)</f>
        <v>7477</v>
      </c>
      <c r="K29" s="269">
        <f t="shared" ref="K29:K34" ca="1" si="26">IFERROR(_xll.ciqfunctions.udf.CIQ(A11, "IQ_GROSS_MARGIN", IQ_LTM, $C$6, , , "USD"),K29)</f>
        <v>56.970300000000002</v>
      </c>
      <c r="L29" s="259"/>
      <c r="M29" s="269">
        <f t="shared" ref="M29:M34" ca="1" si="27">IFERROR(_xll.ciqfunctions.udf.CIQ(A11, "IQ_EBITDA_MARGIN", IQ_LTM, $C$6, , , "USD"),M29)</f>
        <v>52.692100000000003</v>
      </c>
      <c r="N29" s="259"/>
      <c r="O29" s="269">
        <f t="shared" ref="O29:O34" ca="1" si="28">IFERROR(_xll.ciqfunctions.udf.CIQ(A11, "IQ_UFCF_MARGIN", IQ_LTM, $C$6),O29)</f>
        <v>26.005199999999999</v>
      </c>
      <c r="P29" s="27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75" t="str">
        <f t="shared" si="19"/>
        <v>Yum! Brands, Inc.</v>
      </c>
      <c r="C30" s="238"/>
      <c r="D30" s="239"/>
      <c r="E30" s="121">
        <f t="shared" ca="1" si="20"/>
        <v>6842</v>
      </c>
      <c r="F30" s="121">
        <f t="shared" ca="1" si="21"/>
        <v>7278.5128999999997</v>
      </c>
      <c r="G30" s="121">
        <f t="shared" ca="1" si="22"/>
        <v>2328</v>
      </c>
      <c r="H30" s="121">
        <f t="shared" ca="1" si="23"/>
        <v>2560.0007799999998</v>
      </c>
      <c r="I30" s="121">
        <f t="shared" ca="1" si="24"/>
        <v>1111.75</v>
      </c>
      <c r="J30" s="121">
        <f t="shared" ca="1" si="25"/>
        <v>1407.55</v>
      </c>
      <c r="K30" s="271">
        <f t="shared" ca="1" si="26"/>
        <v>48.333799999999997</v>
      </c>
      <c r="L30" s="239"/>
      <c r="M30" s="271">
        <f t="shared" ca="1" si="27"/>
        <v>34.025100000000002</v>
      </c>
      <c r="N30" s="239"/>
      <c r="O30" s="271">
        <f t="shared" ca="1" si="28"/>
        <v>16.248899999999999</v>
      </c>
      <c r="P30" s="26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74" t="str">
        <f t="shared" si="19"/>
        <v>Chipotle Mexican Grill, Inc.</v>
      </c>
      <c r="C31" s="238"/>
      <c r="D31" s="239"/>
      <c r="E31" s="126">
        <f t="shared" ca="1" si="20"/>
        <v>8634.652</v>
      </c>
      <c r="F31" s="126">
        <f t="shared" ca="1" si="21"/>
        <v>9797.7069300000003</v>
      </c>
      <c r="G31" s="126">
        <f t="shared" ca="1" si="22"/>
        <v>1468.3679999999999</v>
      </c>
      <c r="H31" s="126">
        <f t="shared" ca="1" si="23"/>
        <v>1855.5591400000001</v>
      </c>
      <c r="I31" s="126">
        <f t="shared" ca="1" si="24"/>
        <v>703.36275000000001</v>
      </c>
      <c r="J31" s="126">
        <f t="shared" ca="1" si="25"/>
        <v>1089.5999999999999</v>
      </c>
      <c r="K31" s="267">
        <f t="shared" ca="1" si="26"/>
        <v>39.075299999999999</v>
      </c>
      <c r="L31" s="239"/>
      <c r="M31" s="267">
        <f t="shared" ca="1" si="27"/>
        <v>17.005500000000001</v>
      </c>
      <c r="N31" s="239"/>
      <c r="O31" s="267">
        <f t="shared" ca="1" si="28"/>
        <v>8.1457999999999995</v>
      </c>
      <c r="P31" s="26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75" t="str">
        <f t="shared" si="19"/>
        <v>Restaurant Brands International Inc.</v>
      </c>
      <c r="C32" s="238"/>
      <c r="D32" s="239"/>
      <c r="E32" s="121">
        <f t="shared" ca="1" si="20"/>
        <v>6505</v>
      </c>
      <c r="F32" s="121">
        <f t="shared" ca="1" si="21"/>
        <v>6858.0879599999998</v>
      </c>
      <c r="G32" s="121">
        <f t="shared" ca="1" si="22"/>
        <v>2213</v>
      </c>
      <c r="H32" s="121">
        <f t="shared" ca="1" si="23"/>
        <v>2461.0248499999998</v>
      </c>
      <c r="I32" s="121">
        <f t="shared" ca="1" si="24"/>
        <v>1559.375</v>
      </c>
      <c r="J32" s="121">
        <f t="shared" ca="1" si="25"/>
        <v>1425</v>
      </c>
      <c r="K32" s="271">
        <f t="shared" ca="1" si="26"/>
        <v>39.938499999999998</v>
      </c>
      <c r="L32" s="239"/>
      <c r="M32" s="271">
        <f t="shared" ca="1" si="27"/>
        <v>34.0199</v>
      </c>
      <c r="N32" s="239"/>
      <c r="O32" s="271">
        <f t="shared" ca="1" si="28"/>
        <v>23.971900000000002</v>
      </c>
      <c r="P32" s="26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74" t="str">
        <f t="shared" si="19"/>
        <v>Domino's Pizza, Inc.</v>
      </c>
      <c r="C33" s="238"/>
      <c r="D33" s="239"/>
      <c r="E33" s="126">
        <f t="shared" ca="1" si="20"/>
        <v>4537.1580000000004</v>
      </c>
      <c r="F33" s="126">
        <f t="shared" ca="1" si="21"/>
        <v>4627.1246000000001</v>
      </c>
      <c r="G33" s="126">
        <f t="shared" ca="1" si="22"/>
        <v>823.976</v>
      </c>
      <c r="H33" s="126">
        <f t="shared" ca="1" si="23"/>
        <v>869.08489999999995</v>
      </c>
      <c r="I33" s="126">
        <f t="shared" ca="1" si="24"/>
        <v>436.38162999999997</v>
      </c>
      <c r="J33" s="126">
        <f t="shared" ca="1" si="25"/>
        <v>475.7</v>
      </c>
      <c r="K33" s="267">
        <f t="shared" ca="1" si="26"/>
        <v>25.6388</v>
      </c>
      <c r="L33" s="239"/>
      <c r="M33" s="267">
        <f t="shared" ca="1" si="27"/>
        <v>18.160599999999999</v>
      </c>
      <c r="N33" s="239"/>
      <c r="O33" s="267">
        <f t="shared" ca="1" si="28"/>
        <v>9.6179000000000006</v>
      </c>
      <c r="P33" s="26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80" t="str">
        <f t="shared" si="19"/>
        <v>The Wendy's Company</v>
      </c>
      <c r="C34" s="277"/>
      <c r="D34" s="278"/>
      <c r="E34" s="131">
        <f t="shared" ca="1" si="20"/>
        <v>2095.5050000000001</v>
      </c>
      <c r="F34" s="131">
        <f t="shared" ca="1" si="21"/>
        <v>2212.1581900000001</v>
      </c>
      <c r="G34" s="131">
        <f t="shared" ca="1" si="22"/>
        <v>469.04500000000002</v>
      </c>
      <c r="H34" s="131">
        <f t="shared" ca="1" si="23"/>
        <v>535.97717999999998</v>
      </c>
      <c r="I34" s="131">
        <f t="shared" ca="1" si="24"/>
        <v>268.05437999999998</v>
      </c>
      <c r="J34" s="131">
        <f t="shared" ca="1" si="25"/>
        <v>274.04899999999998</v>
      </c>
      <c r="K34" s="290">
        <f t="shared" ca="1" si="26"/>
        <v>34.395299999999999</v>
      </c>
      <c r="L34" s="278"/>
      <c r="M34" s="290">
        <f t="shared" ca="1" si="27"/>
        <v>22.383299999999998</v>
      </c>
      <c r="N34" s="278"/>
      <c r="O34" s="290">
        <f t="shared" ca="1" si="28"/>
        <v>12.7918</v>
      </c>
      <c r="P34" s="28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53"/>
      <c r="C35" s="153"/>
      <c r="D35" s="153"/>
      <c r="E35" s="153"/>
      <c r="F35" s="153"/>
      <c r="G35" s="153"/>
      <c r="H35" s="153"/>
      <c r="I35" s="153"/>
      <c r="J35" s="153"/>
      <c r="K35" s="154"/>
      <c r="L35" s="154"/>
      <c r="M35" s="154"/>
      <c r="N35" s="154"/>
      <c r="O35" s="154"/>
      <c r="P35" s="15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55" t="str">
        <f>B18</f>
        <v>Starbucks Corporation</v>
      </c>
      <c r="C36" s="91"/>
      <c r="D36" s="91"/>
      <c r="E36" s="140">
        <f ca="1">IFERROR(_xll.ciqfunctions.udf.CIQ(A18, "IQ_TOTAL_REV", IQ_LTM, $C$6, , , "USD"),E36)</f>
        <v>32913.800000000003</v>
      </c>
      <c r="F36" s="140">
        <f ca="1">IFERROR(_xll.ciqfunctions.udf.CIQ(A18, "IQ_REVENUE_EST", IQ_NTM, $C$6, , , "USD"),F36)</f>
        <v>37025.696900000003</v>
      </c>
      <c r="G36" s="140">
        <f ca="1">IFERROR(_xll.ciqfunctions.udf.CIQ(A18, "IQ_EBITDA", IQ_LTM, $C$6, , , "USD"),G36)</f>
        <v>6000.6</v>
      </c>
      <c r="H36" s="140">
        <f ca="1">IFERROR(_xll.ciqfunctions.udf.CIQ(A18, "IQ_EBITDA_EST", IQ_NTM, $C$6, , , "USD"),H36)</f>
        <v>7342.8986000000004</v>
      </c>
      <c r="I36" s="140">
        <f ca="1">IFERROR(_xll.ciqfunctions.udf.CIQ(A18, "IQ_UNLEVERED_FCF", IQ_LTM, $C$6, , , "USD"),I36)</f>
        <v>1951.3375000000001</v>
      </c>
      <c r="J36" s="140">
        <f ca="1">IFERROR(_xll.ciqfunctions.udf.CIQ(A18, "IQ_FCF_MEDIAN_EST", IQ_NTM, $C$6, , , "USD"),J36)</f>
        <v>3364.45</v>
      </c>
      <c r="K36" s="291">
        <f ca="1">IFERROR(_xll.ciqfunctions.udf.CIQ(A18, "IQ_GROSS_MARGIN", IQ_LTM, $C$6, , , "USD"),K36)</f>
        <v>25.742000000000001</v>
      </c>
      <c r="L36" s="249"/>
      <c r="M36" s="291">
        <f ca="1">IFERROR(_xll.ciqfunctions.udf.CIQ(A18, "IQ_EBITDA_MARGIN", IQ_LTM, $C$6, , , "USD"),M36)</f>
        <v>18.231200000000001</v>
      </c>
      <c r="N36" s="249"/>
      <c r="O36" s="291">
        <f ca="1">IFERROR(_xll.ciqfunctions.udf.CIQ(A18, "IQ_UFCF_MARGIN", IQ_LTM, $C$6),O36)</f>
        <v>5.9286000000000003</v>
      </c>
      <c r="P36" s="28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53"/>
      <c r="C37" s="153"/>
      <c r="D37" s="153"/>
      <c r="E37" s="153"/>
      <c r="F37" s="153"/>
      <c r="G37" s="153"/>
      <c r="H37" s="153"/>
      <c r="I37" s="153"/>
      <c r="J37" s="153"/>
      <c r="K37" s="154"/>
      <c r="L37" s="154"/>
      <c r="M37" s="154"/>
      <c r="N37" s="154"/>
      <c r="O37" s="154"/>
      <c r="P37" s="15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73" t="str">
        <f t="shared" ref="B38:B43" si="29">B20</f>
        <v>Minimum</v>
      </c>
      <c r="C38" s="258"/>
      <c r="D38" s="259"/>
      <c r="E38" s="144">
        <f t="shared" ref="E38:K38" ca="1" si="30">MIN(E29:E36)</f>
        <v>2095.5050000000001</v>
      </c>
      <c r="F38" s="144">
        <f t="shared" ca="1" si="30"/>
        <v>2212.1581900000001</v>
      </c>
      <c r="G38" s="144">
        <f t="shared" ca="1" si="30"/>
        <v>469.04500000000002</v>
      </c>
      <c r="H38" s="144">
        <f t="shared" ca="1" si="30"/>
        <v>535.97717999999998</v>
      </c>
      <c r="I38" s="144">
        <f t="shared" ca="1" si="30"/>
        <v>268.05437999999998</v>
      </c>
      <c r="J38" s="144">
        <f t="shared" ca="1" si="30"/>
        <v>274.04899999999998</v>
      </c>
      <c r="K38" s="289">
        <f t="shared" ca="1" si="30"/>
        <v>25.6388</v>
      </c>
      <c r="L38" s="259"/>
      <c r="M38" s="289">
        <f ca="1">MIN(M29:M36)</f>
        <v>17.005500000000001</v>
      </c>
      <c r="N38" s="259"/>
      <c r="O38" s="289">
        <f ca="1">MIN(O29:O36)</f>
        <v>5.9286000000000003</v>
      </c>
      <c r="P38" s="27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74" t="str">
        <f t="shared" si="29"/>
        <v>25th Percentile</v>
      </c>
      <c r="C39" s="238"/>
      <c r="D39" s="239"/>
      <c r="E39" s="126">
        <f t="shared" ref="E39:K39" ca="1" si="31">_xlfn.PERCENTILE.EXC(E29:E36,0.25)</f>
        <v>4537.1580000000004</v>
      </c>
      <c r="F39" s="126">
        <f t="shared" ca="1" si="31"/>
        <v>4627.1246000000001</v>
      </c>
      <c r="G39" s="126">
        <f t="shared" ca="1" si="31"/>
        <v>823.976</v>
      </c>
      <c r="H39" s="126">
        <f t="shared" ca="1" si="31"/>
        <v>869.08489999999995</v>
      </c>
      <c r="I39" s="126">
        <f t="shared" ca="1" si="31"/>
        <v>436.38162999999997</v>
      </c>
      <c r="J39" s="126">
        <f t="shared" ca="1" si="31"/>
        <v>475.7</v>
      </c>
      <c r="K39" s="267">
        <f t="shared" ca="1" si="31"/>
        <v>25.742000000000001</v>
      </c>
      <c r="L39" s="239"/>
      <c r="M39" s="267">
        <f ca="1">_xlfn.PERCENTILE.EXC(M29:M36,0.25)</f>
        <v>18.160599999999999</v>
      </c>
      <c r="N39" s="239"/>
      <c r="O39" s="267">
        <f ca="1">_xlfn.PERCENTILE.EXC(O29:O36,0.25)</f>
        <v>8.1457999999999995</v>
      </c>
      <c r="P39" s="26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75" t="str">
        <f t="shared" si="29"/>
        <v>Mean</v>
      </c>
      <c r="C40" s="238"/>
      <c r="D40" s="239"/>
      <c r="E40" s="121">
        <f t="shared" ref="E40:K40" ca="1" si="32">AVERAGE(E29:E36)</f>
        <v>12101.530714285715</v>
      </c>
      <c r="F40" s="121">
        <f t="shared" ca="1" si="32"/>
        <v>13167.81217857143</v>
      </c>
      <c r="G40" s="121">
        <f t="shared" ca="1" si="32"/>
        <v>3645.4841428571422</v>
      </c>
      <c r="H40" s="121">
        <f t="shared" ca="1" si="32"/>
        <v>4085.8070314285724</v>
      </c>
      <c r="I40" s="121">
        <f t="shared" ca="1" si="32"/>
        <v>1722.7087514285715</v>
      </c>
      <c r="J40" s="121">
        <f t="shared" ca="1" si="32"/>
        <v>2216.1927142857144</v>
      </c>
      <c r="K40" s="271">
        <f t="shared" ca="1" si="32"/>
        <v>38.584857142857139</v>
      </c>
      <c r="L40" s="239"/>
      <c r="M40" s="271">
        <f ca="1">AVERAGE(M29:M36)</f>
        <v>28.073957142857143</v>
      </c>
      <c r="N40" s="239"/>
      <c r="O40" s="271">
        <f ca="1">AVERAGE(O29:O36)</f>
        <v>14.672871428571428</v>
      </c>
      <c r="P40" s="26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74" t="str">
        <f t="shared" si="29"/>
        <v>Median</v>
      </c>
      <c r="C41" s="238"/>
      <c r="D41" s="239"/>
      <c r="E41" s="126">
        <f t="shared" ref="E41:K41" ca="1" si="33">MEDIAN(E29:E36)</f>
        <v>6842</v>
      </c>
      <c r="F41" s="126">
        <f t="shared" ca="1" si="33"/>
        <v>7278.5128999999997</v>
      </c>
      <c r="G41" s="126">
        <f t="shared" ca="1" si="33"/>
        <v>2213</v>
      </c>
      <c r="H41" s="126">
        <f t="shared" ca="1" si="33"/>
        <v>2461.0248499999998</v>
      </c>
      <c r="I41" s="126">
        <f t="shared" ca="1" si="33"/>
        <v>1111.75</v>
      </c>
      <c r="J41" s="126">
        <f t="shared" ca="1" si="33"/>
        <v>1407.55</v>
      </c>
      <c r="K41" s="267">
        <f t="shared" ca="1" si="33"/>
        <v>39.075299999999999</v>
      </c>
      <c r="L41" s="239"/>
      <c r="M41" s="267">
        <f ca="1">MEDIAN(M29:M36)</f>
        <v>22.383299999999998</v>
      </c>
      <c r="N41" s="239"/>
      <c r="O41" s="267">
        <f ca="1">MEDIAN(O29:O36)</f>
        <v>12.7918</v>
      </c>
      <c r="P41" s="26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75" t="str">
        <f t="shared" si="29"/>
        <v>75th Percentile</v>
      </c>
      <c r="C42" s="238"/>
      <c r="D42" s="239"/>
      <c r="E42" s="121">
        <f t="shared" ref="E42:K42" ca="1" si="34">_xlfn.PERCENTILE.EXC(E29:E36,0.75)</f>
        <v>23182.6</v>
      </c>
      <c r="F42" s="121">
        <f t="shared" ca="1" si="34"/>
        <v>24375.39777</v>
      </c>
      <c r="G42" s="121">
        <f t="shared" ca="1" si="34"/>
        <v>6000.6</v>
      </c>
      <c r="H42" s="121">
        <f t="shared" ca="1" si="34"/>
        <v>7342.8986000000004</v>
      </c>
      <c r="I42" s="121">
        <f t="shared" ca="1" si="34"/>
        <v>1951.3375000000001</v>
      </c>
      <c r="J42" s="121">
        <f t="shared" ca="1" si="34"/>
        <v>3364.45</v>
      </c>
      <c r="K42" s="271">
        <f t="shared" ca="1" si="34"/>
        <v>48.333799999999997</v>
      </c>
      <c r="L42" s="239"/>
      <c r="M42" s="271">
        <f ca="1">_xlfn.PERCENTILE.EXC(M29:M36,0.75)</f>
        <v>34.025100000000002</v>
      </c>
      <c r="N42" s="239"/>
      <c r="O42" s="271">
        <f ca="1">_xlfn.PERCENTILE.EXC(O29:O36,0.75)</f>
        <v>23.971900000000002</v>
      </c>
      <c r="P42" s="26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76" t="str">
        <f t="shared" si="29"/>
        <v>Maximum</v>
      </c>
      <c r="C43" s="277"/>
      <c r="D43" s="278"/>
      <c r="E43" s="149">
        <f t="shared" ref="E43:K43" ca="1" si="35">MAX(E29:E36)</f>
        <v>32913.800000000003</v>
      </c>
      <c r="F43" s="149">
        <f t="shared" ca="1" si="35"/>
        <v>37025.696900000003</v>
      </c>
      <c r="G43" s="149">
        <f t="shared" ca="1" si="35"/>
        <v>12215.4</v>
      </c>
      <c r="H43" s="149">
        <f t="shared" ca="1" si="35"/>
        <v>12976.10377</v>
      </c>
      <c r="I43" s="149">
        <f t="shared" ca="1" si="35"/>
        <v>6028.7</v>
      </c>
      <c r="J43" s="149">
        <f t="shared" ca="1" si="35"/>
        <v>7477</v>
      </c>
      <c r="K43" s="287">
        <f t="shared" ca="1" si="35"/>
        <v>56.970300000000002</v>
      </c>
      <c r="L43" s="278"/>
      <c r="M43" s="287">
        <f ca="1">MAX(M29:M36)</f>
        <v>52.692100000000003</v>
      </c>
      <c r="N43" s="278"/>
      <c r="O43" s="287">
        <f ca="1">MAX(O29:O36)</f>
        <v>26.005199999999999</v>
      </c>
      <c r="P43" s="28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47" t="s">
        <v>116</v>
      </c>
      <c r="C45" s="248"/>
      <c r="D45" s="248"/>
      <c r="E45" s="248"/>
      <c r="F45" s="248"/>
      <c r="G45" s="249"/>
      <c r="H45" s="156"/>
      <c r="I45" s="156"/>
      <c r="J45" s="156"/>
      <c r="K45" s="156"/>
      <c r="L45" s="156"/>
      <c r="M45" s="156"/>
      <c r="N45" s="156"/>
      <c r="O45" s="156"/>
      <c r="P45" s="15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47" t="s">
        <v>117</v>
      </c>
      <c r="C47" s="248"/>
      <c r="D47" s="283"/>
      <c r="E47" s="1"/>
      <c r="F47" s="1"/>
      <c r="G47" s="1"/>
      <c r="H47" s="247" t="s">
        <v>118</v>
      </c>
      <c r="I47" s="248"/>
      <c r="J47" s="283"/>
      <c r="K47" s="1"/>
      <c r="L47" s="1"/>
      <c r="M47" s="1"/>
      <c r="N47" s="247" t="s">
        <v>119</v>
      </c>
      <c r="O47" s="248"/>
      <c r="P47" s="28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45" t="s">
        <v>120</v>
      </c>
      <c r="C48" s="234"/>
      <c r="D48" s="158">
        <f ca="1">M21</f>
        <v>14.99024</v>
      </c>
      <c r="E48" s="1"/>
      <c r="F48" s="1"/>
      <c r="G48" s="1"/>
      <c r="H48" s="245" t="str">
        <f t="shared" ref="H48:H56" si="36">B48</f>
        <v>Implied Multiple</v>
      </c>
      <c r="I48" s="234"/>
      <c r="J48" s="158">
        <f ca="1">M23</f>
        <v>18.82931</v>
      </c>
      <c r="K48" s="1"/>
      <c r="L48" s="1"/>
      <c r="M48" s="1"/>
      <c r="N48" s="245" t="str">
        <f t="shared" ref="N48:N56" si="37">B48</f>
        <v>Implied Multiple</v>
      </c>
      <c r="O48" s="234"/>
      <c r="P48" s="158">
        <f ca="1">M24</f>
        <v>19.106909999999999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59"/>
      <c r="B49" s="284" t="s">
        <v>121</v>
      </c>
      <c r="C49" s="232"/>
      <c r="D49" s="160">
        <f ca="1">H36</f>
        <v>7342.8986000000004</v>
      </c>
      <c r="E49" s="1"/>
      <c r="F49" s="1"/>
      <c r="G49" s="1"/>
      <c r="H49" s="284" t="str">
        <f t="shared" si="36"/>
        <v>NTM EBITDA</v>
      </c>
      <c r="I49" s="232"/>
      <c r="J49" s="160">
        <f ca="1">D49</f>
        <v>7342.8986000000004</v>
      </c>
      <c r="K49" s="1"/>
      <c r="L49" s="1"/>
      <c r="M49" s="1"/>
      <c r="N49" s="284" t="str">
        <f t="shared" si="37"/>
        <v>NTM EBITDA</v>
      </c>
      <c r="O49" s="232"/>
      <c r="P49" s="160">
        <f ca="1">D49</f>
        <v>7342.8986000000004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84" t="s">
        <v>122</v>
      </c>
      <c r="C50" s="232"/>
      <c r="D50" s="160">
        <f ca="1">+D48*D49</f>
        <v>110071.812309664</v>
      </c>
      <c r="E50" s="1"/>
      <c r="F50" s="1"/>
      <c r="G50" s="1"/>
      <c r="H50" s="284" t="str">
        <f t="shared" si="36"/>
        <v>Enterprise Value</v>
      </c>
      <c r="I50" s="232"/>
      <c r="J50" s="160">
        <f ca="1">J49*J48</f>
        <v>138261.71403796601</v>
      </c>
      <c r="K50" s="1"/>
      <c r="L50" s="1"/>
      <c r="M50" s="1"/>
      <c r="N50" s="284" t="str">
        <f t="shared" si="37"/>
        <v>Enterprise Value</v>
      </c>
      <c r="O50" s="232"/>
      <c r="P50" s="160">
        <f ca="1">P49*P48</f>
        <v>140300.10268932601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85" t="s">
        <v>123</v>
      </c>
      <c r="C51" s="232"/>
      <c r="D51" s="160">
        <f>-(1761+13153)</f>
        <v>-14914</v>
      </c>
      <c r="E51" s="1"/>
      <c r="F51" s="1"/>
      <c r="G51" s="1"/>
      <c r="H51" s="285" t="str">
        <f t="shared" si="36"/>
        <v xml:space="preserve">     Less: Debt</v>
      </c>
      <c r="I51" s="232"/>
      <c r="J51" s="160">
        <f t="shared" ref="J51:J52" si="38">D51</f>
        <v>-14914</v>
      </c>
      <c r="K51" s="1"/>
      <c r="L51" s="1"/>
      <c r="M51" s="1"/>
      <c r="N51" s="285" t="str">
        <f t="shared" si="37"/>
        <v xml:space="preserve">     Less: Debt</v>
      </c>
      <c r="O51" s="232"/>
      <c r="P51" s="160">
        <f t="shared" ref="P51:P52" si="39">D51</f>
        <v>-14914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35" t="s">
        <v>124</v>
      </c>
      <c r="C52" s="236"/>
      <c r="D52" s="161">
        <f ca="1">_xll.ciqfunctions.udf.CIQ($A$18, "IQ_CASH_EQUIV", IQ_LTM, $C$6, , , "USD")</f>
        <v>3186.5</v>
      </c>
      <c r="E52" s="1"/>
      <c r="F52" s="1"/>
      <c r="G52" s="1"/>
      <c r="H52" s="235" t="str">
        <f t="shared" si="36"/>
        <v xml:space="preserve">     Plus: Cash</v>
      </c>
      <c r="I52" s="236"/>
      <c r="J52" s="161">
        <f t="shared" ca="1" si="38"/>
        <v>3186.5</v>
      </c>
      <c r="K52" s="1"/>
      <c r="L52" s="1"/>
      <c r="M52" s="1"/>
      <c r="N52" s="235" t="str">
        <f t="shared" si="37"/>
        <v xml:space="preserve">     Plus: Cash</v>
      </c>
      <c r="O52" s="236"/>
      <c r="P52" s="161">
        <f t="shared" ca="1" si="39"/>
        <v>3186.5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45" t="s">
        <v>125</v>
      </c>
      <c r="C53" s="234"/>
      <c r="D53" s="160">
        <f ca="1">SUM(D50:D52)</f>
        <v>98344.312309664005</v>
      </c>
      <c r="E53" s="1"/>
      <c r="F53" s="1"/>
      <c r="G53" s="1"/>
      <c r="H53" s="245" t="str">
        <f t="shared" si="36"/>
        <v>Equity Value</v>
      </c>
      <c r="I53" s="234"/>
      <c r="J53" s="160">
        <f ca="1">SUM(J50:J52)</f>
        <v>126534.21403796601</v>
      </c>
      <c r="K53" s="1"/>
      <c r="L53" s="1"/>
      <c r="M53" s="1"/>
      <c r="N53" s="245" t="str">
        <f t="shared" si="37"/>
        <v>Equity Value</v>
      </c>
      <c r="O53" s="234"/>
      <c r="P53" s="160">
        <f ca="1">SUM(P50:P52)</f>
        <v>128572.60268932601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35" t="s">
        <v>126</v>
      </c>
      <c r="C54" s="236"/>
      <c r="D54" s="162">
        <f ca="1">_xll.ciqfunctions.udf.CIQ(A18, "IQ_SHARESOUTSTANDING", C6)</f>
        <v>1149.3</v>
      </c>
      <c r="E54" s="1"/>
      <c r="F54" s="1"/>
      <c r="G54" s="1"/>
      <c r="H54" s="235" t="str">
        <f t="shared" si="36"/>
        <v>Diluted Shares Outstanding</v>
      </c>
      <c r="I54" s="236"/>
      <c r="J54" s="162">
        <f ca="1">D54</f>
        <v>1149.3</v>
      </c>
      <c r="K54" s="1"/>
      <c r="L54" s="1"/>
      <c r="M54" s="1"/>
      <c r="N54" s="235" t="str">
        <f t="shared" si="37"/>
        <v>Diluted Shares Outstanding</v>
      </c>
      <c r="O54" s="236"/>
      <c r="P54" s="162">
        <f ca="1">J54</f>
        <v>1149.3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86" t="s">
        <v>127</v>
      </c>
      <c r="C55" s="249"/>
      <c r="D55" s="163">
        <f ca="1">D53/D54</f>
        <v>85.568878717187857</v>
      </c>
      <c r="E55" s="5"/>
      <c r="F55" s="5"/>
      <c r="G55" s="5"/>
      <c r="H55" s="286" t="str">
        <f t="shared" si="36"/>
        <v>Implied Share Price</v>
      </c>
      <c r="I55" s="249"/>
      <c r="J55" s="163">
        <f ca="1">J53/J54</f>
        <v>110.09676676060734</v>
      </c>
      <c r="K55" s="5"/>
      <c r="L55" s="5"/>
      <c r="M55" s="5"/>
      <c r="N55" s="286" t="str">
        <f t="shared" si="37"/>
        <v>Implied Share Price</v>
      </c>
      <c r="O55" s="249"/>
      <c r="P55" s="163">
        <f ca="1">P53/P54</f>
        <v>111.87035820875839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52" t="s">
        <v>128</v>
      </c>
      <c r="C56" s="236"/>
      <c r="D56" s="164">
        <f ca="1">D55/$C$7-1</f>
        <v>-0.13268924876152588</v>
      </c>
      <c r="E56" s="1"/>
      <c r="F56" s="1"/>
      <c r="G56" s="1"/>
      <c r="H56" s="252" t="str">
        <f t="shared" si="36"/>
        <v>Upside / Downside</v>
      </c>
      <c r="I56" s="236"/>
      <c r="J56" s="164">
        <f ca="1">J55/$C$7-1</f>
        <v>0.11592100912839398</v>
      </c>
      <c r="K56" s="1"/>
      <c r="L56" s="1"/>
      <c r="M56" s="1"/>
      <c r="N56" s="252" t="str">
        <f t="shared" si="37"/>
        <v>Upside / Downside</v>
      </c>
      <c r="O56" s="236"/>
      <c r="P56" s="164">
        <f ca="1">P55/$C$7-1</f>
        <v>0.13389781277882018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F60" s="165"/>
      <c r="G60" s="165"/>
      <c r="H60" s="165"/>
      <c r="I60" s="165"/>
      <c r="J60" s="165"/>
      <c r="K60" s="165"/>
      <c r="L60" s="165"/>
      <c r="M60" s="165"/>
      <c r="N60" s="16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O64" s="165"/>
      <c r="P64" s="165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65"/>
      <c r="S74" s="165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65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0">
    <mergeCell ref="M36:N36"/>
    <mergeCell ref="O36:P36"/>
    <mergeCell ref="K32:L32"/>
    <mergeCell ref="M32:N32"/>
    <mergeCell ref="O32:P32"/>
    <mergeCell ref="K33:L33"/>
    <mergeCell ref="M33:N33"/>
    <mergeCell ref="O33:P33"/>
    <mergeCell ref="K34:L34"/>
    <mergeCell ref="B29:D29"/>
    <mergeCell ref="B30:D30"/>
    <mergeCell ref="B31:D31"/>
    <mergeCell ref="B32:D32"/>
    <mergeCell ref="B33:D33"/>
    <mergeCell ref="B34:D34"/>
    <mergeCell ref="B38:D38"/>
    <mergeCell ref="B39:D39"/>
    <mergeCell ref="B40:D40"/>
    <mergeCell ref="B41:D41"/>
    <mergeCell ref="B42:D42"/>
    <mergeCell ref="B43:D43"/>
    <mergeCell ref="B45:G45"/>
    <mergeCell ref="B47:D47"/>
    <mergeCell ref="B55:C55"/>
    <mergeCell ref="B56:C56"/>
    <mergeCell ref="B48:C48"/>
    <mergeCell ref="B49:C49"/>
    <mergeCell ref="B50:C50"/>
    <mergeCell ref="B51:C51"/>
    <mergeCell ref="B52:C52"/>
    <mergeCell ref="B53:C53"/>
    <mergeCell ref="B54:C54"/>
    <mergeCell ref="K42:L42"/>
    <mergeCell ref="M42:N42"/>
    <mergeCell ref="O42:P42"/>
    <mergeCell ref="K43:L43"/>
    <mergeCell ref="M43:N43"/>
    <mergeCell ref="O43:P43"/>
    <mergeCell ref="N47:P47"/>
    <mergeCell ref="H54:I54"/>
    <mergeCell ref="H55:I55"/>
    <mergeCell ref="H56:I56"/>
    <mergeCell ref="H47:J47"/>
    <mergeCell ref="H48:I48"/>
    <mergeCell ref="H49:I49"/>
    <mergeCell ref="H50:I50"/>
    <mergeCell ref="H51:I51"/>
    <mergeCell ref="H52:I52"/>
    <mergeCell ref="H53:I53"/>
    <mergeCell ref="N55:O55"/>
    <mergeCell ref="N56:O56"/>
    <mergeCell ref="N48:O48"/>
    <mergeCell ref="N49:O49"/>
    <mergeCell ref="N50:O50"/>
    <mergeCell ref="N51:O51"/>
    <mergeCell ref="N52:O52"/>
    <mergeCell ref="N53:O53"/>
    <mergeCell ref="N54:O54"/>
    <mergeCell ref="B1:F3"/>
    <mergeCell ref="B4:D4"/>
    <mergeCell ref="B9:D9"/>
    <mergeCell ref="H9:I9"/>
    <mergeCell ref="J9:K9"/>
    <mergeCell ref="L9:M9"/>
    <mergeCell ref="N9:O9"/>
    <mergeCell ref="B11:D11"/>
    <mergeCell ref="B12:D12"/>
    <mergeCell ref="B13:D13"/>
    <mergeCell ref="B14:D14"/>
    <mergeCell ref="B15:D15"/>
    <mergeCell ref="B16:D16"/>
    <mergeCell ref="B18:D18"/>
    <mergeCell ref="E27:F27"/>
    <mergeCell ref="G27:H27"/>
    <mergeCell ref="I27:J27"/>
    <mergeCell ref="K27:P27"/>
    <mergeCell ref="K28:L28"/>
    <mergeCell ref="M28:N28"/>
    <mergeCell ref="O28:P28"/>
    <mergeCell ref="B20:D20"/>
    <mergeCell ref="B21:D21"/>
    <mergeCell ref="B22:D22"/>
    <mergeCell ref="B23:D23"/>
    <mergeCell ref="B24:D24"/>
    <mergeCell ref="B25:D25"/>
    <mergeCell ref="B27:D27"/>
    <mergeCell ref="K41:L41"/>
    <mergeCell ref="M41:N41"/>
    <mergeCell ref="O41:P41"/>
    <mergeCell ref="M31:N31"/>
    <mergeCell ref="O31:P31"/>
    <mergeCell ref="K29:L29"/>
    <mergeCell ref="M29:N29"/>
    <mergeCell ref="O29:P29"/>
    <mergeCell ref="K30:L30"/>
    <mergeCell ref="M30:N30"/>
    <mergeCell ref="O30:P30"/>
    <mergeCell ref="K31:L31"/>
    <mergeCell ref="M40:N40"/>
    <mergeCell ref="O40:P40"/>
    <mergeCell ref="K38:L38"/>
    <mergeCell ref="M38:N38"/>
    <mergeCell ref="O38:P38"/>
    <mergeCell ref="K39:L39"/>
    <mergeCell ref="M39:N39"/>
    <mergeCell ref="O39:P39"/>
    <mergeCell ref="K40:L40"/>
    <mergeCell ref="M34:N34"/>
    <mergeCell ref="O34:P34"/>
    <mergeCell ref="K36:L3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Z1000"/>
  <sheetViews>
    <sheetView showGridLines="0" zoomScale="85" zoomScaleNormal="85" workbookViewId="0">
      <selection activeCell="F32" sqref="F32"/>
    </sheetView>
  </sheetViews>
  <sheetFormatPr defaultColWidth="14.42578125" defaultRowHeight="15" customHeight="1"/>
  <cols>
    <col min="1" max="1" width="5.85546875" customWidth="1"/>
    <col min="2" max="2" width="23.5703125" customWidth="1"/>
    <col min="3" max="11" width="15.7109375" customWidth="1"/>
    <col min="12" max="13" width="12.85546875" customWidth="1"/>
    <col min="14" max="14" width="12.7109375" customWidth="1"/>
    <col min="15" max="15" width="1.7109375" customWidth="1"/>
    <col min="16" max="18" width="12.7109375" customWidth="1"/>
    <col min="19" max="26" width="15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307" t="s">
        <v>191</v>
      </c>
      <c r="C2" s="232"/>
      <c r="D2" s="232"/>
      <c r="E2" s="232"/>
      <c r="F2" s="2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36"/>
      <c r="C3" s="236"/>
      <c r="D3" s="236"/>
      <c r="E3" s="236"/>
      <c r="F3" s="2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47" t="s">
        <v>55</v>
      </c>
      <c r="C4" s="248"/>
      <c r="D4" s="248"/>
      <c r="E4" s="249"/>
      <c r="F4" s="31">
        <f>'Operating Build'!I5</f>
        <v>2023</v>
      </c>
      <c r="G4" s="31">
        <f>'Operating Build'!J5</f>
        <v>2024</v>
      </c>
      <c r="H4" s="31">
        <f>'Operating Build'!K5</f>
        <v>2025</v>
      </c>
      <c r="I4" s="31">
        <f>'Operating Build'!L5</f>
        <v>2026</v>
      </c>
      <c r="J4" s="31">
        <f>'Operating Build'!M5</f>
        <v>2027</v>
      </c>
      <c r="K4" s="1"/>
      <c r="L4" s="247" t="s">
        <v>129</v>
      </c>
      <c r="M4" s="248"/>
      <c r="N4" s="283"/>
      <c r="O4" s="1"/>
      <c r="P4" s="247" t="s">
        <v>130</v>
      </c>
      <c r="Q4" s="248"/>
      <c r="R4" s="283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55" t="s">
        <v>6</v>
      </c>
      <c r="C5" s="234"/>
      <c r="D5" s="234"/>
      <c r="E5" s="234"/>
      <c r="F5" s="1"/>
      <c r="G5" s="1"/>
      <c r="H5" s="1"/>
      <c r="I5" s="1"/>
      <c r="J5" s="1"/>
      <c r="K5" s="1"/>
      <c r="L5" s="233" t="s">
        <v>131</v>
      </c>
      <c r="M5" s="234"/>
      <c r="N5" s="166">
        <f ca="1">$F$20</f>
        <v>9.3697430468579992E-2</v>
      </c>
      <c r="O5" s="1"/>
      <c r="P5" s="233" t="s">
        <v>131</v>
      </c>
      <c r="Q5" s="234"/>
      <c r="R5" s="166">
        <f t="shared" ref="R5:R6" ca="1" si="0">N5</f>
        <v>9.3697430468579992E-2</v>
      </c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31"/>
      <c r="C6" s="232"/>
      <c r="D6" s="232"/>
      <c r="E6" s="232"/>
      <c r="F6" s="1"/>
      <c r="G6" s="1"/>
      <c r="H6" s="1"/>
      <c r="I6" s="1"/>
      <c r="J6" s="1"/>
      <c r="K6" s="1"/>
      <c r="L6" s="235" t="s">
        <v>132</v>
      </c>
      <c r="M6" s="236"/>
      <c r="N6" s="167">
        <f ca="1">AVERAGE('Operating Build'!I21:M21)/AVERAGE('Operating Build'!I20:M20)*-1</f>
        <v>0.22408334908334893</v>
      </c>
      <c r="O6" s="1"/>
      <c r="P6" s="235" t="s">
        <v>132</v>
      </c>
      <c r="Q6" s="236"/>
      <c r="R6" s="167">
        <f t="shared" ca="1" si="0"/>
        <v>0.22408334908334893</v>
      </c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92" t="s">
        <v>7</v>
      </c>
      <c r="C7" s="238"/>
      <c r="D7" s="238"/>
      <c r="E7" s="239"/>
      <c r="F7" s="168">
        <f ca="1">'Revenue Build'!I8</f>
        <v>33912.126887899998</v>
      </c>
      <c r="G7" s="168">
        <f ca="1">'Revenue Build'!J8</f>
        <v>37784.003220026301</v>
      </c>
      <c r="H7" s="168">
        <f ca="1">'Revenue Build'!K8</f>
        <v>42025.633271305356</v>
      </c>
      <c r="I7" s="168">
        <f ca="1">'Revenue Build'!L8</f>
        <v>46724.906745416694</v>
      </c>
      <c r="J7" s="168">
        <f ca="1">'Revenue Build'!M8</f>
        <v>51883.948071945917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37" t="s">
        <v>8</v>
      </c>
      <c r="C8" s="238"/>
      <c r="D8" s="238"/>
      <c r="E8" s="239"/>
      <c r="F8" s="15">
        <f ca="1">'Operating Build'!I9</f>
        <v>-10682.3199696885</v>
      </c>
      <c r="G8" s="15">
        <f ca="1">'Operating Build'!J9</f>
        <v>-11335.200966007889</v>
      </c>
      <c r="H8" s="15">
        <f ca="1">'Operating Build'!K9</f>
        <v>-12607.689981391606</v>
      </c>
      <c r="I8" s="15">
        <f ca="1">'Operating Build'!L9</f>
        <v>-14556.284414035204</v>
      </c>
      <c r="J8" s="15">
        <f ca="1">'Operating Build'!M9</f>
        <v>-16084.209858869141</v>
      </c>
      <c r="K8" s="1"/>
      <c r="L8" s="247" t="s">
        <v>133</v>
      </c>
      <c r="M8" s="248"/>
      <c r="N8" s="283"/>
      <c r="O8" s="1"/>
      <c r="P8" s="247" t="s">
        <v>133</v>
      </c>
      <c r="Q8" s="248"/>
      <c r="R8" s="283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37" t="s">
        <v>9</v>
      </c>
      <c r="C9" s="238"/>
      <c r="D9" s="238"/>
      <c r="E9" s="239"/>
      <c r="F9" s="15">
        <f ca="1">'Operating Build'!I10</f>
        <v>-13463.114374496299</v>
      </c>
      <c r="G9" s="15">
        <f ca="1">'Operating Build'!J10</f>
        <v>-15491.441320210783</v>
      </c>
      <c r="H9" s="15">
        <f ca="1">'Operating Build'!K10</f>
        <v>-17457.630999014422</v>
      </c>
      <c r="I9" s="15">
        <f ca="1">'Operating Build'!L10</f>
        <v>-18976.80539278797</v>
      </c>
      <c r="J9" s="15">
        <f ca="1">'Operating Build'!M10</f>
        <v>-20770.315319709942</v>
      </c>
      <c r="K9" s="1"/>
      <c r="L9" s="233" t="s">
        <v>134</v>
      </c>
      <c r="M9" s="234"/>
      <c r="N9" s="23">
        <f ca="1">J13+(-J11)</f>
        <v>11366.078545011133</v>
      </c>
      <c r="O9" s="1"/>
      <c r="P9" s="233" t="s">
        <v>135</v>
      </c>
      <c r="Q9" s="234"/>
      <c r="R9" s="23">
        <f ca="1">J19</f>
        <v>9942.2018397584907</v>
      </c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"/>
      <c r="B10" s="237" t="s">
        <v>10</v>
      </c>
      <c r="C10" s="238"/>
      <c r="D10" s="238"/>
      <c r="E10" s="239"/>
      <c r="F10" s="15">
        <f ca="1">'Operating Build'!I11</f>
        <v>-487.95106178632096</v>
      </c>
      <c r="G10" s="15">
        <f ca="1">'Operating Build'!J11</f>
        <v>-545.58675905020766</v>
      </c>
      <c r="H10" s="15">
        <f ca="1">'Operating Build'!K11</f>
        <v>-612.00082663428316</v>
      </c>
      <c r="I10" s="15">
        <f ca="1">'Operating Build'!L11</f>
        <v>-713.17738457211226</v>
      </c>
      <c r="J10" s="15">
        <f ca="1">'Operating Build'!M11</f>
        <v>-864.69803146467154</v>
      </c>
      <c r="K10" s="10"/>
      <c r="L10" s="285" t="s">
        <v>136</v>
      </c>
      <c r="M10" s="232"/>
      <c r="N10" s="169">
        <f ca="1">Comps!D48+1</f>
        <v>15.99024</v>
      </c>
      <c r="O10" s="1"/>
      <c r="P10" s="285" t="s">
        <v>137</v>
      </c>
      <c r="Q10" s="232"/>
      <c r="R10" s="170">
        <v>3.5000000000000003E-2</v>
      </c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1"/>
      <c r="B11" s="237" t="s">
        <v>23</v>
      </c>
      <c r="C11" s="238"/>
      <c r="D11" s="238"/>
      <c r="E11" s="239"/>
      <c r="F11" s="15">
        <f ca="1">'Operating Build'!I12</f>
        <v>-1309.7286043343861</v>
      </c>
      <c r="G11" s="15">
        <f ca="1">'Operating Build'!J12</f>
        <v>-1422.8601142760165</v>
      </c>
      <c r="H11" s="15">
        <f ca="1">'Operating Build'!K12</f>
        <v>-1588.1752518067408</v>
      </c>
      <c r="I11" s="15">
        <f ca="1">'Operating Build'!L12</f>
        <v>-1830.0956852036436</v>
      </c>
      <c r="J11" s="15">
        <f ca="1">'Operating Build'!M12</f>
        <v>-2004.1985436576615</v>
      </c>
      <c r="K11" s="1"/>
      <c r="L11" s="286" t="s">
        <v>138</v>
      </c>
      <c r="M11" s="249"/>
      <c r="N11" s="171">
        <f ca="1">N10*N9</f>
        <v>181746.32379357881</v>
      </c>
      <c r="O11" s="1"/>
      <c r="P11" s="286" t="s">
        <v>138</v>
      </c>
      <c r="Q11" s="249"/>
      <c r="R11" s="171">
        <f ca="1">+(R9*(1+R10)/(R5-R10))</f>
        <v>175308.84779800102</v>
      </c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37" t="s">
        <v>12</v>
      </c>
      <c r="C12" s="238"/>
      <c r="D12" s="238"/>
      <c r="E12" s="239"/>
      <c r="F12" s="15">
        <f ca="1">'Operating Build'!I13</f>
        <v>-2137.7353093733404</v>
      </c>
      <c r="G12" s="15">
        <f ca="1">'Operating Build'!J13</f>
        <v>-2291.0874714243091</v>
      </c>
      <c r="H12" s="15">
        <f ca="1">'Operating Build'!K13</f>
        <v>-2545.4315679642286</v>
      </c>
      <c r="I12" s="15">
        <f ca="1">'Operating Build'!L13</f>
        <v>-2685.7120790911226</v>
      </c>
      <c r="J12" s="15">
        <f ca="1">'Operating Build'!M13</f>
        <v>-2798.6463168910336</v>
      </c>
      <c r="K12" s="1"/>
      <c r="L12" s="285"/>
      <c r="M12" s="232"/>
      <c r="N12" s="18"/>
      <c r="O12" s="1"/>
      <c r="P12" s="285"/>
      <c r="Q12" s="232"/>
      <c r="R12" s="18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292" t="s">
        <v>139</v>
      </c>
      <c r="C13" s="238"/>
      <c r="D13" s="238"/>
      <c r="E13" s="239"/>
      <c r="F13" s="168">
        <f t="shared" ref="F13:J13" ca="1" si="1">SUM(F7:F12)</f>
        <v>5831.2775682211523</v>
      </c>
      <c r="G13" s="168">
        <f t="shared" ca="1" si="1"/>
        <v>6697.8265890570947</v>
      </c>
      <c r="H13" s="168">
        <f t="shared" ca="1" si="1"/>
        <v>7214.7046444940761</v>
      </c>
      <c r="I13" s="168">
        <f t="shared" ca="1" si="1"/>
        <v>7962.8317897266425</v>
      </c>
      <c r="J13" s="168">
        <f t="shared" ca="1" si="1"/>
        <v>9361.880001353471</v>
      </c>
      <c r="K13" s="1"/>
      <c r="L13" s="285" t="s">
        <v>140</v>
      </c>
      <c r="M13" s="232"/>
      <c r="N13" s="172">
        <f>J22</f>
        <v>4.5</v>
      </c>
      <c r="O13" s="1"/>
      <c r="P13" s="285" t="s">
        <v>140</v>
      </c>
      <c r="Q13" s="232"/>
      <c r="R13" s="172">
        <f t="shared" ref="R13:R14" si="2">N13</f>
        <v>4.5</v>
      </c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 t="s">
        <v>141</v>
      </c>
      <c r="F14" s="17">
        <f t="shared" ref="F14:J14" ca="1" si="3">-F13*($N$6)</f>
        <v>-1306.6922069216025</v>
      </c>
      <c r="G14" s="17">
        <f t="shared" ca="1" si="3"/>
        <v>-1500.8714136554172</v>
      </c>
      <c r="H14" s="17">
        <f t="shared" ca="1" si="3"/>
        <v>-1616.6951793854248</v>
      </c>
      <c r="I14" s="17">
        <f t="shared" ca="1" si="3"/>
        <v>-1784.3380156293033</v>
      </c>
      <c r="J14" s="17">
        <f t="shared" ca="1" si="3"/>
        <v>-2097.8414244197129</v>
      </c>
      <c r="K14" s="1"/>
      <c r="L14" s="285" t="s">
        <v>142</v>
      </c>
      <c r="M14" s="232"/>
      <c r="N14" s="173">
        <f ca="1">1/(1+N5)^N13</f>
        <v>0.66828642137231686</v>
      </c>
      <c r="O14" s="1"/>
      <c r="P14" s="235" t="s">
        <v>142</v>
      </c>
      <c r="Q14" s="236"/>
      <c r="R14" s="173">
        <f t="shared" ca="1" si="2"/>
        <v>0.66828642137231686</v>
      </c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0"/>
      <c r="B15" s="292" t="s">
        <v>143</v>
      </c>
      <c r="C15" s="238"/>
      <c r="D15" s="238"/>
      <c r="E15" s="239"/>
      <c r="F15" s="168">
        <f t="shared" ref="F15:J15" ca="1" si="4">SUM(F13:F14)</f>
        <v>4524.5853612995497</v>
      </c>
      <c r="G15" s="168">
        <f t="shared" ca="1" si="4"/>
        <v>5196.9551754016775</v>
      </c>
      <c r="H15" s="168">
        <f t="shared" ca="1" si="4"/>
        <v>5598.0094651086511</v>
      </c>
      <c r="I15" s="168">
        <f t="shared" ca="1" si="4"/>
        <v>6178.4937740973392</v>
      </c>
      <c r="J15" s="168">
        <f t="shared" ca="1" si="4"/>
        <v>7264.0385769337581</v>
      </c>
      <c r="K15" s="10"/>
      <c r="L15" s="286" t="s">
        <v>144</v>
      </c>
      <c r="M15" s="249"/>
      <c r="N15" s="171">
        <f ca="1">N14*N11</f>
        <v>121458.60032558514</v>
      </c>
      <c r="O15" s="1"/>
      <c r="P15" s="286" t="s">
        <v>144</v>
      </c>
      <c r="Q15" s="249"/>
      <c r="R15" s="171">
        <f ca="1">R14*R11</f>
        <v>117156.52252983027</v>
      </c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"/>
      <c r="B16" s="1" t="s">
        <v>23</v>
      </c>
      <c r="F16" s="17">
        <f t="shared" ref="F16:J16" ca="1" si="5">F11*-1</f>
        <v>1309.7286043343861</v>
      </c>
      <c r="G16" s="17">
        <f t="shared" ca="1" si="5"/>
        <v>1422.8601142760165</v>
      </c>
      <c r="H16" s="17">
        <f t="shared" ca="1" si="5"/>
        <v>1588.1752518067408</v>
      </c>
      <c r="I16" s="17">
        <f t="shared" ca="1" si="5"/>
        <v>1830.0956852036436</v>
      </c>
      <c r="J16" s="17">
        <f t="shared" ca="1" si="5"/>
        <v>2004.1985436576615</v>
      </c>
      <c r="K16" s="1"/>
      <c r="L16" s="231"/>
      <c r="M16" s="2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 t="s">
        <v>145</v>
      </c>
      <c r="F17" s="17">
        <f>-'Operating Build'!I30*-1</f>
        <v>0</v>
      </c>
      <c r="G17" s="17">
        <f>-'Operating Build'!J30*-1</f>
        <v>0</v>
      </c>
      <c r="H17" s="17">
        <f>-'Operating Build'!K30*-1</f>
        <v>0</v>
      </c>
      <c r="I17" s="17">
        <f>-'Operating Build'!L30*-1</f>
        <v>0</v>
      </c>
      <c r="J17" s="17">
        <f>-'Operating Build'!M30*-1</f>
        <v>0</v>
      </c>
      <c r="K17" s="1"/>
      <c r="L17" s="247" t="s">
        <v>146</v>
      </c>
      <c r="M17" s="248"/>
      <c r="N17" s="283"/>
      <c r="O17" s="1"/>
      <c r="P17" s="247" t="s">
        <v>146</v>
      </c>
      <c r="Q17" s="248"/>
      <c r="R17" s="283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/>
      <c r="B18" s="1" t="s">
        <v>147</v>
      </c>
      <c r="F18" s="17">
        <f ca="1">NWC!I23*-1</f>
        <v>-585.58317208935296</v>
      </c>
      <c r="G18" s="17">
        <f ca="1">NWC!J23*-1</f>
        <v>590.1131216639651</v>
      </c>
      <c r="H18" s="17">
        <f ca="1">NWC!K23*-1</f>
        <v>562.61571702398305</v>
      </c>
      <c r="I18" s="17">
        <f ca="1">NWC!L23*-1</f>
        <v>538.75839271661789</v>
      </c>
      <c r="J18" s="17">
        <f ca="1">NWC!M23*-1</f>
        <v>673.96471916707105</v>
      </c>
      <c r="K18" s="10"/>
      <c r="L18" s="233" t="s">
        <v>148</v>
      </c>
      <c r="M18" s="234"/>
      <c r="N18" s="23">
        <f ca="1">$E$24</f>
        <v>30408.227994161571</v>
      </c>
      <c r="O18" s="1"/>
      <c r="P18" s="233" t="s">
        <v>148</v>
      </c>
      <c r="Q18" s="234"/>
      <c r="R18" s="23">
        <f ca="1">$E$24</f>
        <v>30408.227994161571</v>
      </c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"/>
      <c r="B19" s="292" t="s">
        <v>149</v>
      </c>
      <c r="C19" s="238"/>
      <c r="D19" s="238"/>
      <c r="E19" s="239"/>
      <c r="F19" s="168">
        <f t="shared" ref="F19:J19" ca="1" si="6">SUM(F15:F18)</f>
        <v>5248.7307935445824</v>
      </c>
      <c r="G19" s="168">
        <f t="shared" ca="1" si="6"/>
        <v>7209.9284113416588</v>
      </c>
      <c r="H19" s="168">
        <f t="shared" ca="1" si="6"/>
        <v>7748.8004339393747</v>
      </c>
      <c r="I19" s="168">
        <f t="shared" ca="1" si="6"/>
        <v>8547.3478520175995</v>
      </c>
      <c r="J19" s="168">
        <f t="shared" ca="1" si="6"/>
        <v>9942.2018397584907</v>
      </c>
      <c r="K19" s="1"/>
      <c r="L19" s="285" t="s">
        <v>144</v>
      </c>
      <c r="M19" s="232"/>
      <c r="N19" s="18">
        <f ca="1">N15</f>
        <v>121458.60032558514</v>
      </c>
      <c r="O19" s="1"/>
      <c r="P19" s="285" t="s">
        <v>144</v>
      </c>
      <c r="Q19" s="232"/>
      <c r="R19" s="18">
        <f ca="1">R15</f>
        <v>117156.52252983027</v>
      </c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 t="s">
        <v>150</v>
      </c>
      <c r="F20" s="174">
        <f ca="1">WACC!$H$23</f>
        <v>9.3697430468579992E-2</v>
      </c>
      <c r="G20" s="174">
        <f ca="1">WACC!$H$23</f>
        <v>9.3697430468579992E-2</v>
      </c>
      <c r="H20" s="174">
        <f ca="1">WACC!$H$23</f>
        <v>9.3697430468579992E-2</v>
      </c>
      <c r="I20" s="174">
        <f ca="1">WACC!$H$23</f>
        <v>9.3697430468579992E-2</v>
      </c>
      <c r="J20" s="174">
        <f ca="1">WACC!$H$23</f>
        <v>9.3697430468579992E-2</v>
      </c>
      <c r="K20" s="1"/>
      <c r="L20" s="286" t="s">
        <v>151</v>
      </c>
      <c r="M20" s="249"/>
      <c r="N20" s="171">
        <f ca="1">SUM(N18:N19)</f>
        <v>151866.82831974671</v>
      </c>
      <c r="O20" s="1"/>
      <c r="P20" s="286" t="s">
        <v>151</v>
      </c>
      <c r="Q20" s="249"/>
      <c r="R20" s="171">
        <f ca="1">SUM(R18:R19)</f>
        <v>147564.75052399182</v>
      </c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92" t="s">
        <v>152</v>
      </c>
      <c r="C21" s="238"/>
      <c r="D21" s="238"/>
      <c r="E21" s="239"/>
      <c r="F21" s="168">
        <f t="shared" ref="F21:J21" ca="1" si="7">F19/(1+F20)^(F22)</f>
        <v>5018.8671795013952</v>
      </c>
      <c r="G21" s="168">
        <f t="shared" ca="1" si="7"/>
        <v>6303.5494608276167</v>
      </c>
      <c r="H21" s="168">
        <f t="shared" ca="1" si="7"/>
        <v>6194.2894660670036</v>
      </c>
      <c r="I21" s="168">
        <f t="shared" ca="1" si="7"/>
        <v>6247.2833997120888</v>
      </c>
      <c r="J21" s="168">
        <f t="shared" ca="1" si="7"/>
        <v>6644.2384880534664</v>
      </c>
      <c r="K21" s="1"/>
      <c r="L21" s="285"/>
      <c r="M21" s="232"/>
      <c r="N21" s="18"/>
      <c r="O21" s="1"/>
      <c r="P21" s="285"/>
      <c r="Q21" s="232"/>
      <c r="R21" s="18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 t="s">
        <v>140</v>
      </c>
      <c r="F22" s="1">
        <v>0.5</v>
      </c>
      <c r="G22" s="1">
        <f t="shared" ref="G22:J22" si="8">F22+1</f>
        <v>1.5</v>
      </c>
      <c r="H22" s="1">
        <f t="shared" si="8"/>
        <v>2.5</v>
      </c>
      <c r="I22" s="1">
        <f t="shared" si="8"/>
        <v>3.5</v>
      </c>
      <c r="J22" s="1">
        <f t="shared" si="8"/>
        <v>4.5</v>
      </c>
      <c r="K22" s="1"/>
      <c r="L22" s="285" t="s">
        <v>153</v>
      </c>
      <c r="M22" s="232"/>
      <c r="N22" s="170">
        <f t="shared" ref="N22:N23" ca="1" si="9">N18/$N$20</f>
        <v>0.20022955855862629</v>
      </c>
      <c r="O22" s="1"/>
      <c r="P22" s="285" t="s">
        <v>153</v>
      </c>
      <c r="Q22" s="232"/>
      <c r="R22" s="170">
        <f t="shared" ref="R22:R23" ca="1" si="10">R18/$R$20</f>
        <v>0.20606701726655002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K23" s="1"/>
      <c r="L23" s="285" t="s">
        <v>154</v>
      </c>
      <c r="M23" s="232"/>
      <c r="N23" s="170">
        <f t="shared" ca="1" si="9"/>
        <v>0.79977044144137366</v>
      </c>
      <c r="O23" s="1"/>
      <c r="P23" s="285" t="s">
        <v>154</v>
      </c>
      <c r="Q23" s="232"/>
      <c r="R23" s="170">
        <f t="shared" ca="1" si="10"/>
        <v>0.79393298273345003</v>
      </c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55" t="s">
        <v>155</v>
      </c>
      <c r="C24" s="91"/>
      <c r="D24" s="91"/>
      <c r="E24" s="78">
        <f ca="1">SUM(F21:J21)</f>
        <v>30408.227994161571</v>
      </c>
      <c r="K24" s="1"/>
      <c r="L24" s="286" t="s">
        <v>151</v>
      </c>
      <c r="M24" s="249"/>
      <c r="N24" s="175">
        <f ca="1">SUM(N22:N23)</f>
        <v>1</v>
      </c>
      <c r="O24" s="1"/>
      <c r="P24" s="286" t="s">
        <v>151</v>
      </c>
      <c r="Q24" s="249"/>
      <c r="R24" s="175">
        <f ca="1">SUM(R22:R23)</f>
        <v>1</v>
      </c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K25" s="1"/>
      <c r="L25" s="233"/>
      <c r="M25" s="234"/>
      <c r="N25" s="23"/>
      <c r="O25" s="1"/>
      <c r="P25" s="233"/>
      <c r="Q25" s="234"/>
      <c r="R25" s="23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K26" s="1"/>
      <c r="L26" s="297" t="s">
        <v>156</v>
      </c>
      <c r="M26" s="248"/>
      <c r="N26" s="176">
        <f ca="1">((N11*N5-J38)/(N11+J38))</f>
        <v>9.3697430468579992E-2</v>
      </c>
      <c r="O26" s="1"/>
      <c r="P26" s="297" t="s">
        <v>157</v>
      </c>
      <c r="Q26" s="248"/>
      <c r="R26" s="177">
        <f ca="1">R11/N9</f>
        <v>15.42386383340177</v>
      </c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K28" s="1"/>
      <c r="L28" s="247" t="s">
        <v>158</v>
      </c>
      <c r="M28" s="248"/>
      <c r="N28" s="283"/>
      <c r="O28" s="1"/>
      <c r="P28" s="247" t="s">
        <v>159</v>
      </c>
      <c r="Q28" s="248"/>
      <c r="R28" s="283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K29" s="1"/>
      <c r="L29" s="286" t="s">
        <v>160</v>
      </c>
      <c r="M29" s="249"/>
      <c r="N29" s="171">
        <f ca="1">N20</f>
        <v>151866.82831974671</v>
      </c>
      <c r="O29" s="1"/>
      <c r="P29" s="286" t="s">
        <v>160</v>
      </c>
      <c r="Q29" s="249"/>
      <c r="R29" s="171">
        <f ca="1">R20</f>
        <v>147564.75052399182</v>
      </c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K30" s="1"/>
      <c r="L30" s="285" t="s">
        <v>161</v>
      </c>
      <c r="M30" s="232"/>
      <c r="N30" s="18">
        <f>Comps!D51</f>
        <v>-14914</v>
      </c>
      <c r="O30" s="1"/>
      <c r="P30" s="285" t="s">
        <v>161</v>
      </c>
      <c r="Q30" s="232"/>
      <c r="R30" s="18">
        <f t="shared" ref="R30:R31" si="11">N30</f>
        <v>-14914</v>
      </c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K31" s="1"/>
      <c r="L31" s="285" t="s">
        <v>162</v>
      </c>
      <c r="M31" s="232"/>
      <c r="N31" s="18">
        <f ca="1">Comps!D52</f>
        <v>3186.5</v>
      </c>
      <c r="O31" s="1"/>
      <c r="P31" s="285" t="s">
        <v>162</v>
      </c>
      <c r="Q31" s="232"/>
      <c r="R31" s="18">
        <f t="shared" ca="1" si="11"/>
        <v>3186.5</v>
      </c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K32" s="1"/>
      <c r="L32" s="286" t="s">
        <v>125</v>
      </c>
      <c r="M32" s="249"/>
      <c r="N32" s="171">
        <f ca="1">SUM(N29:N31)</f>
        <v>140139.32831974671</v>
      </c>
      <c r="O32" s="1"/>
      <c r="P32" s="286" t="s">
        <v>125</v>
      </c>
      <c r="Q32" s="249"/>
      <c r="R32" s="171">
        <f ca="1">SUM(R29:R31)</f>
        <v>135837.25052399182</v>
      </c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K33" s="1"/>
      <c r="L33" s="285" t="s">
        <v>163</v>
      </c>
      <c r="M33" s="232"/>
      <c r="N33" s="18">
        <f ca="1">Comps!D54</f>
        <v>1149.3</v>
      </c>
      <c r="O33" s="1"/>
      <c r="P33" s="285" t="s">
        <v>163</v>
      </c>
      <c r="Q33" s="232"/>
      <c r="R33" s="18">
        <f ca="1">N33</f>
        <v>1149.3</v>
      </c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K34" s="1"/>
      <c r="L34" s="286" t="s">
        <v>164</v>
      </c>
      <c r="M34" s="249"/>
      <c r="N34" s="178">
        <f ca="1">N32/N33</f>
        <v>121.93450649938808</v>
      </c>
      <c r="O34" s="1"/>
      <c r="P34" s="286" t="s">
        <v>164</v>
      </c>
      <c r="Q34" s="249"/>
      <c r="R34" s="178">
        <f ca="1">R32/R33</f>
        <v>118.19129080657081</v>
      </c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K35" s="1"/>
      <c r="L35" s="252" t="s">
        <v>128</v>
      </c>
      <c r="M35" s="236"/>
      <c r="N35" s="179">
        <f ca="1">N34/Comps!C7-1</f>
        <v>0.23590620818354036</v>
      </c>
      <c r="O35" s="1"/>
      <c r="P35" s="294" t="s">
        <v>128</v>
      </c>
      <c r="Q35" s="248"/>
      <c r="R35" s="180">
        <f ca="1">R34/Comps!C7-1</f>
        <v>0.19796564774549785</v>
      </c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K37" s="1"/>
      <c r="L37" s="295" t="s">
        <v>165</v>
      </c>
      <c r="M37" s="248"/>
      <c r="N37" s="248"/>
      <c r="O37" s="248"/>
      <c r="P37" s="248"/>
      <c r="Q37" s="248"/>
      <c r="R37" s="283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K38" s="1"/>
      <c r="L38" s="233" t="s">
        <v>166</v>
      </c>
      <c r="M38" s="234"/>
      <c r="N38" s="234"/>
      <c r="O38" s="234"/>
      <c r="P38" s="234"/>
      <c r="Q38" s="234"/>
      <c r="R38" s="181">
        <f ca="1">N34</f>
        <v>121.93450649938808</v>
      </c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K39" s="1"/>
      <c r="L39" s="285" t="s">
        <v>167</v>
      </c>
      <c r="M39" s="232"/>
      <c r="N39" s="232"/>
      <c r="O39" s="232"/>
      <c r="P39" s="232"/>
      <c r="Q39" s="232"/>
      <c r="R39" s="182">
        <f ca="1">R34</f>
        <v>118.19129080657081</v>
      </c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K40" s="1"/>
      <c r="L40" s="286" t="s">
        <v>165</v>
      </c>
      <c r="M40" s="248"/>
      <c r="N40" s="248"/>
      <c r="O40" s="248"/>
      <c r="P40" s="248"/>
      <c r="Q40" s="249"/>
      <c r="R40" s="178">
        <f ca="1">AVERAGE(R38:R39)</f>
        <v>120.06289865297944</v>
      </c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K41" s="1"/>
      <c r="L41" s="252" t="s">
        <v>128</v>
      </c>
      <c r="M41" s="236"/>
      <c r="N41" s="236"/>
      <c r="O41" s="236"/>
      <c r="P41" s="236"/>
      <c r="Q41" s="236"/>
      <c r="R41" s="180">
        <f ca="1">R40/Comps!C7-1</f>
        <v>0.2169359279645191</v>
      </c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K42" s="1"/>
      <c r="L42" s="231"/>
      <c r="M42" s="232"/>
      <c r="N42" s="232"/>
      <c r="O42" s="232"/>
      <c r="P42" s="232"/>
      <c r="Q42" s="232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31"/>
      <c r="C45" s="232"/>
      <c r="D45" s="232"/>
      <c r="E45" s="23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83"/>
      <c r="G49" s="18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8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8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296" t="s">
        <v>168</v>
      </c>
      <c r="E52" s="232"/>
      <c r="F52" s="232"/>
      <c r="G52" s="232"/>
      <c r="H52" s="23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236"/>
      <c r="E53" s="236"/>
      <c r="F53" s="236"/>
      <c r="G53" s="236"/>
      <c r="H53" s="23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87">
        <f ca="1">N34</f>
        <v>121.93450649938808</v>
      </c>
      <c r="D54" s="188">
        <f>6.00404-2</f>
        <v>4.0040399999999998</v>
      </c>
      <c r="E54" s="189">
        <f>6.00404-1</f>
        <v>5.0040399999999998</v>
      </c>
      <c r="F54" s="189">
        <v>6.0040399999999998</v>
      </c>
      <c r="G54" s="189">
        <f>6.00404+1</f>
        <v>7.0040399999999998</v>
      </c>
      <c r="H54" s="190">
        <f>6.00404+2</f>
        <v>8.0040399999999998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91">
        <f>9.81625173054901%-2%</f>
        <v>7.8162517305490092E-2</v>
      </c>
      <c r="D55" s="192"/>
      <c r="E55" s="193" t="e">
        <v>#REF!</v>
      </c>
      <c r="F55" s="193" t="e">
        <v>#REF!</v>
      </c>
      <c r="G55" s="193" t="e">
        <v>#REF!</v>
      </c>
      <c r="H55" s="194" t="e">
        <v>#REF!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95">
        <f>9.81625173054901%-1%</f>
        <v>8.8162517305490101E-2</v>
      </c>
      <c r="D56" s="196" t="e">
        <v>#REF!</v>
      </c>
      <c r="E56" s="197" t="e">
        <v>#REF!</v>
      </c>
      <c r="F56" s="198" t="e">
        <v>#REF!</v>
      </c>
      <c r="G56" s="199" t="e">
        <v>#REF!</v>
      </c>
      <c r="H56" s="200" t="e">
        <v>#REF!</v>
      </c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95">
        <v>9.8162517305490068E-2</v>
      </c>
      <c r="D57" s="196" t="e">
        <v>#REF!</v>
      </c>
      <c r="E57" s="201" t="e">
        <v>#REF!</v>
      </c>
      <c r="F57" s="202" t="e">
        <v>#REF!</v>
      </c>
      <c r="G57" s="203" t="e">
        <v>#REF!</v>
      </c>
      <c r="H57" s="200" t="e">
        <v>#REF!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95">
        <f>9.81625173054901%+1%</f>
        <v>0.10816251730549009</v>
      </c>
      <c r="D58" s="196" t="e">
        <v>#REF!</v>
      </c>
      <c r="E58" s="204" t="e">
        <v>#REF!</v>
      </c>
      <c r="F58" s="205" t="e">
        <v>#REF!</v>
      </c>
      <c r="G58" s="206" t="e">
        <v>#REF!</v>
      </c>
      <c r="H58" s="200" t="e">
        <v>#REF!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207">
        <f>9.81625173054901%+2%</f>
        <v>0.1181625173054901</v>
      </c>
      <c r="D59" s="208" t="e">
        <v>#REF!</v>
      </c>
      <c r="E59" s="209" t="e">
        <v>#REF!</v>
      </c>
      <c r="F59" s="209" t="e">
        <v>#REF!</v>
      </c>
      <c r="G59" s="209" t="e">
        <v>#REF!</v>
      </c>
      <c r="H59" s="210" t="e">
        <v>#REF!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293" t="s">
        <v>169</v>
      </c>
      <c r="E61" s="232"/>
      <c r="F61" s="232"/>
      <c r="G61" s="232"/>
      <c r="H61" s="23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236"/>
      <c r="E62" s="236"/>
      <c r="F62" s="236"/>
      <c r="G62" s="236"/>
      <c r="H62" s="23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87">
        <f ca="1">R34</f>
        <v>118.19129080657081</v>
      </c>
      <c r="D63" s="211">
        <f t="shared" ref="D63:E63" si="12">E63-0.005</f>
        <v>9.9999999999999985E-3</v>
      </c>
      <c r="E63" s="211">
        <f t="shared" si="12"/>
        <v>1.4999999999999999E-2</v>
      </c>
      <c r="F63" s="211">
        <v>0.02</v>
      </c>
      <c r="G63" s="211">
        <f t="shared" ref="G63:H63" si="13">F63+0.005</f>
        <v>2.5000000000000001E-2</v>
      </c>
      <c r="H63" s="212">
        <f t="shared" si="13"/>
        <v>3.0000000000000002E-2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91">
        <v>7.8162517305490092E-2</v>
      </c>
      <c r="D64" s="192"/>
      <c r="E64" s="193" t="e">
        <v>#REF!</v>
      </c>
      <c r="F64" s="193" t="e">
        <v>#REF!</v>
      </c>
      <c r="G64" s="193" t="e">
        <v>#REF!</v>
      </c>
      <c r="H64" s="194" t="e">
        <v>#REF!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91">
        <v>8.8162517305490101E-2</v>
      </c>
      <c r="D65" s="196" t="e">
        <v>#REF!</v>
      </c>
      <c r="E65" s="197" t="e">
        <v>#REF!</v>
      </c>
      <c r="F65" s="198" t="e">
        <v>#REF!</v>
      </c>
      <c r="G65" s="199" t="e">
        <v>#REF!</v>
      </c>
      <c r="H65" s="200" t="e">
        <v>#REF!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91">
        <v>9.8162517305490068E-2</v>
      </c>
      <c r="D66" s="196" t="e">
        <v>#REF!</v>
      </c>
      <c r="E66" s="201" t="e">
        <v>#REF!</v>
      </c>
      <c r="F66" s="202" t="e">
        <v>#REF!</v>
      </c>
      <c r="G66" s="203" t="e">
        <v>#REF!</v>
      </c>
      <c r="H66" s="200" t="e">
        <v>#REF!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91">
        <v>0.10816251730549009</v>
      </c>
      <c r="D67" s="196" t="e">
        <v>#REF!</v>
      </c>
      <c r="E67" s="204" t="e">
        <v>#REF!</v>
      </c>
      <c r="F67" s="205" t="e">
        <v>#REF!</v>
      </c>
      <c r="G67" s="206" t="e">
        <v>#REF!</v>
      </c>
      <c r="H67" s="200" t="e">
        <v>#REF!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213">
        <v>0.1181625173054901</v>
      </c>
      <c r="D68" s="208" t="e">
        <v>#REF!</v>
      </c>
      <c r="E68" s="209" t="e">
        <v>#REF!</v>
      </c>
      <c r="F68" s="209" t="e">
        <v>#REF!</v>
      </c>
      <c r="G68" s="209" t="e">
        <v>#REF!</v>
      </c>
      <c r="H68" s="210" t="e">
        <v>#REF!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2">
    <mergeCell ref="L17:N17"/>
    <mergeCell ref="L18:M18"/>
    <mergeCell ref="L19:M19"/>
    <mergeCell ref="L20:M20"/>
    <mergeCell ref="L21:M21"/>
    <mergeCell ref="L30:M30"/>
    <mergeCell ref="L31:M31"/>
    <mergeCell ref="L22:M22"/>
    <mergeCell ref="L23:M23"/>
    <mergeCell ref="L32:M32"/>
    <mergeCell ref="L24:M24"/>
    <mergeCell ref="L25:M25"/>
    <mergeCell ref="L26:M26"/>
    <mergeCell ref="L28:N28"/>
    <mergeCell ref="L29:M29"/>
    <mergeCell ref="P26:Q26"/>
    <mergeCell ref="P28:R28"/>
    <mergeCell ref="P29:Q29"/>
    <mergeCell ref="P30:Q30"/>
    <mergeCell ref="P31:Q31"/>
    <mergeCell ref="P32:Q32"/>
    <mergeCell ref="P33:Q33"/>
    <mergeCell ref="L42:Q42"/>
    <mergeCell ref="B45:E45"/>
    <mergeCell ref="D52:H53"/>
    <mergeCell ref="L35:M35"/>
    <mergeCell ref="L33:M33"/>
    <mergeCell ref="L34:M34"/>
    <mergeCell ref="D61:H62"/>
    <mergeCell ref="P34:Q34"/>
    <mergeCell ref="P35:Q35"/>
    <mergeCell ref="L37:R37"/>
    <mergeCell ref="L38:Q38"/>
    <mergeCell ref="L39:Q39"/>
    <mergeCell ref="L40:Q40"/>
    <mergeCell ref="L41:Q41"/>
    <mergeCell ref="B2:F3"/>
    <mergeCell ref="B4:E4"/>
    <mergeCell ref="L4:N4"/>
    <mergeCell ref="P4:R4"/>
    <mergeCell ref="B5:E5"/>
    <mergeCell ref="P5:Q5"/>
    <mergeCell ref="P6:Q6"/>
    <mergeCell ref="L5:M5"/>
    <mergeCell ref="L6:M6"/>
    <mergeCell ref="L8:N8"/>
    <mergeCell ref="P8:R8"/>
    <mergeCell ref="L9:M9"/>
    <mergeCell ref="P9:Q9"/>
    <mergeCell ref="P10:Q10"/>
    <mergeCell ref="B13:E13"/>
    <mergeCell ref="B15:E15"/>
    <mergeCell ref="L10:M10"/>
    <mergeCell ref="L11:M11"/>
    <mergeCell ref="L12:M12"/>
    <mergeCell ref="L13:M13"/>
    <mergeCell ref="L14:M14"/>
    <mergeCell ref="L15:M15"/>
    <mergeCell ref="B19:E19"/>
    <mergeCell ref="B21:E21"/>
    <mergeCell ref="B6:E6"/>
    <mergeCell ref="B7:E7"/>
    <mergeCell ref="B8:E8"/>
    <mergeCell ref="B9:E9"/>
    <mergeCell ref="B10:E10"/>
    <mergeCell ref="B11:E11"/>
    <mergeCell ref="B12:E12"/>
    <mergeCell ref="L16:M16"/>
    <mergeCell ref="P11:Q11"/>
    <mergeCell ref="P12:Q12"/>
    <mergeCell ref="P13:Q13"/>
    <mergeCell ref="P14:Q14"/>
    <mergeCell ref="P15:Q15"/>
    <mergeCell ref="P22:Q22"/>
    <mergeCell ref="P23:Q23"/>
    <mergeCell ref="P24:Q24"/>
    <mergeCell ref="P25:Q25"/>
    <mergeCell ref="P17:R17"/>
    <mergeCell ref="P18:Q18"/>
    <mergeCell ref="P19:Q19"/>
    <mergeCell ref="P20:Q20"/>
    <mergeCell ref="P21:Q21"/>
  </mergeCells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1000"/>
  <sheetViews>
    <sheetView showGridLines="0" workbookViewId="0"/>
  </sheetViews>
  <sheetFormatPr defaultColWidth="14.42578125" defaultRowHeight="15" customHeight="1"/>
  <cols>
    <col min="1" max="1" width="5.85546875" customWidth="1"/>
    <col min="2" max="8" width="12.7109375" customWidth="1"/>
    <col min="9" max="9" width="5.7109375" customWidth="1"/>
    <col min="10" max="20" width="12.7109375" customWidth="1"/>
  </cols>
  <sheetData>
    <row r="1" spans="1:20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/>
      <c r="B2" s="266" t="s">
        <v>150</v>
      </c>
      <c r="C2" s="232"/>
      <c r="D2" s="232"/>
      <c r="E2" s="2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1"/>
      <c r="B3" s="232"/>
      <c r="C3" s="232"/>
      <c r="D3" s="232"/>
      <c r="E3" s="2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>
      <c r="A5" s="1"/>
      <c r="B5" s="302" t="s">
        <v>170</v>
      </c>
      <c r="C5" s="248"/>
      <c r="D5" s="283"/>
      <c r="E5" s="1"/>
      <c r="F5" s="302" t="s">
        <v>171</v>
      </c>
      <c r="G5" s="248"/>
      <c r="H5" s="2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233" t="s">
        <v>172</v>
      </c>
      <c r="C6" s="234"/>
      <c r="D6" s="214">
        <v>4.7500000000000001E-2</v>
      </c>
      <c r="E6" s="1"/>
      <c r="F6" s="285" t="s">
        <v>173</v>
      </c>
      <c r="G6" s="232"/>
      <c r="H6" s="215">
        <v>4.6399999999999997E-2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>
      <c r="A7" s="1"/>
      <c r="B7" s="285" t="s">
        <v>174</v>
      </c>
      <c r="C7" s="232"/>
      <c r="D7" s="216">
        <v>0.06</v>
      </c>
      <c r="E7" s="1"/>
      <c r="F7" s="285" t="s">
        <v>175</v>
      </c>
      <c r="G7" s="232"/>
      <c r="H7" s="215">
        <f>D9</f>
        <v>0.21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>
      <c r="A8" s="1"/>
      <c r="B8" s="285" t="s">
        <v>176</v>
      </c>
      <c r="C8" s="232"/>
      <c r="D8" s="217">
        <v>0.89500000000000002</v>
      </c>
      <c r="E8" s="1"/>
      <c r="F8" s="286" t="s">
        <v>177</v>
      </c>
      <c r="G8" s="249"/>
      <c r="H8" s="218">
        <f>H6*(1-H7)</f>
        <v>3.6656000000000001E-2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1"/>
      <c r="B9" s="285" t="s">
        <v>175</v>
      </c>
      <c r="C9" s="232"/>
      <c r="D9" s="215">
        <v>0.21</v>
      </c>
      <c r="E9" s="1"/>
      <c r="F9" s="231"/>
      <c r="G9" s="2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>
      <c r="A10" s="1"/>
      <c r="B10" s="285" t="s">
        <v>178</v>
      </c>
      <c r="C10" s="232"/>
      <c r="D10" s="219">
        <f ca="1">Comps!D54</f>
        <v>1149.3</v>
      </c>
      <c r="E10" s="1"/>
      <c r="F10" s="302" t="s">
        <v>179</v>
      </c>
      <c r="G10" s="248"/>
      <c r="H10" s="28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>
      <c r="A11" s="1"/>
      <c r="B11" s="285" t="s">
        <v>2</v>
      </c>
      <c r="C11" s="232"/>
      <c r="D11" s="182">
        <f ca="1">Comps!C7</f>
        <v>98.66</v>
      </c>
      <c r="E11" s="1"/>
      <c r="F11" s="233" t="s">
        <v>172</v>
      </c>
      <c r="G11" s="234"/>
      <c r="H11" s="216">
        <f t="shared" ref="H11:H13" si="0">D6</f>
        <v>4.7500000000000001E-2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>
      <c r="A12" s="1"/>
      <c r="B12" s="235" t="s">
        <v>180</v>
      </c>
      <c r="C12" s="236"/>
      <c r="D12" s="161">
        <f>Comps!D51*-1</f>
        <v>14914</v>
      </c>
      <c r="E12" s="1"/>
      <c r="F12" s="285" t="s">
        <v>174</v>
      </c>
      <c r="G12" s="232"/>
      <c r="H12" s="216">
        <f t="shared" si="0"/>
        <v>0.06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1"/>
      <c r="B13" s="231"/>
      <c r="C13" s="232"/>
      <c r="D13" s="1"/>
      <c r="E13" s="1"/>
      <c r="F13" s="285" t="s">
        <v>176</v>
      </c>
      <c r="G13" s="232"/>
      <c r="H13" s="217">
        <f t="shared" si="0"/>
        <v>0.89500000000000002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>
      <c r="A14" s="1"/>
      <c r="B14" s="231"/>
      <c r="C14" s="232"/>
      <c r="D14" s="1"/>
      <c r="E14" s="1"/>
      <c r="F14" s="286" t="s">
        <v>181</v>
      </c>
      <c r="G14" s="249"/>
      <c r="H14" s="218">
        <f>H11+H12*H13</f>
        <v>0.1012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1"/>
      <c r="B15" s="231"/>
      <c r="C15" s="23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>
      <c r="A16" s="1"/>
      <c r="B16" s="302" t="s">
        <v>182</v>
      </c>
      <c r="C16" s="248"/>
      <c r="D16" s="248"/>
      <c r="E16" s="248"/>
      <c r="F16" s="248"/>
      <c r="G16" s="248"/>
      <c r="H16" s="28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298"/>
      <c r="C18" s="248"/>
      <c r="D18" s="249"/>
      <c r="E18" s="220" t="s">
        <v>183</v>
      </c>
      <c r="F18" s="220" t="s">
        <v>184</v>
      </c>
      <c r="G18" s="303" t="s">
        <v>185</v>
      </c>
      <c r="H18" s="28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>
      <c r="A19" s="1"/>
      <c r="B19" s="285" t="s">
        <v>180</v>
      </c>
      <c r="C19" s="232"/>
      <c r="D19" s="232"/>
      <c r="E19" s="221">
        <f>D12</f>
        <v>14914</v>
      </c>
      <c r="F19" s="222">
        <f t="shared" ref="F19:F20" ca="1" si="1">E19/$E$21</f>
        <v>0.11623961222452892</v>
      </c>
      <c r="G19" s="299">
        <f ca="1">F19*H8</f>
        <v>4.2608792257023322E-3</v>
      </c>
      <c r="H19" s="30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>
      <c r="A20" s="1"/>
      <c r="B20" s="285" t="s">
        <v>186</v>
      </c>
      <c r="C20" s="232"/>
      <c r="D20" s="232"/>
      <c r="E20" s="221">
        <f ca="1">D11*D10</f>
        <v>113389.93799999999</v>
      </c>
      <c r="F20" s="222">
        <f t="shared" ca="1" si="1"/>
        <v>0.88376038777547106</v>
      </c>
      <c r="G20" s="299">
        <f ca="1">H14*F20</f>
        <v>8.9436551242877665E-2</v>
      </c>
      <c r="H20" s="30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>
      <c r="A21" s="1"/>
      <c r="B21" s="286" t="s">
        <v>151</v>
      </c>
      <c r="C21" s="248"/>
      <c r="D21" s="249"/>
      <c r="E21" s="223">
        <f t="shared" ref="E21:F21" ca="1" si="2">SUM(E19:E20)</f>
        <v>128303.93799999999</v>
      </c>
      <c r="F21" s="224">
        <f t="shared" ca="1" si="2"/>
        <v>1</v>
      </c>
      <c r="G21" s="301">
        <f ca="1">SUM(G19:H20)</f>
        <v>9.3697430468579992E-2</v>
      </c>
      <c r="H21" s="28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>
      <c r="A22" s="1"/>
      <c r="B22" s="231"/>
      <c r="C22" s="232"/>
      <c r="D22" s="23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"/>
      <c r="B23" s="298" t="s">
        <v>187</v>
      </c>
      <c r="C23" s="248"/>
      <c r="D23" s="249"/>
      <c r="E23" s="220"/>
      <c r="F23" s="220"/>
      <c r="G23" s="220"/>
      <c r="H23" s="225">
        <f ca="1">G21</f>
        <v>9.3697430468579992E-2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P24" s="1"/>
      <c r="Q24" s="1"/>
      <c r="R24" s="1"/>
      <c r="S24" s="1"/>
      <c r="T24" s="1"/>
    </row>
    <row r="25" spans="1:2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P25" s="1"/>
      <c r="Q25" s="1"/>
      <c r="R25" s="1"/>
      <c r="S25" s="1"/>
      <c r="T25" s="1"/>
    </row>
    <row r="26" spans="1:2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P26" s="1"/>
      <c r="Q26" s="1"/>
      <c r="R26" s="1"/>
      <c r="S26" s="1"/>
      <c r="T26" s="1"/>
    </row>
    <row r="27" spans="1:2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"/>
      <c r="S27" s="1"/>
      <c r="T27" s="1"/>
    </row>
    <row r="28" spans="1:2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S28" s="1"/>
      <c r="T28" s="1"/>
    </row>
    <row r="29" spans="1:2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1"/>
      <c r="T29" s="1"/>
    </row>
    <row r="30" spans="1:2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S30" s="1"/>
      <c r="T30" s="1"/>
    </row>
    <row r="31" spans="1:2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S31" s="1"/>
      <c r="T31" s="1"/>
    </row>
    <row r="32" spans="1:2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F7:G7"/>
    <mergeCell ref="F8:G8"/>
    <mergeCell ref="B2:E3"/>
    <mergeCell ref="B5:D5"/>
    <mergeCell ref="F5:H5"/>
    <mergeCell ref="B6:C6"/>
    <mergeCell ref="F6:G6"/>
    <mergeCell ref="B7:C7"/>
    <mergeCell ref="B8:C8"/>
    <mergeCell ref="G20:H20"/>
    <mergeCell ref="G21:H21"/>
    <mergeCell ref="B9:C9"/>
    <mergeCell ref="F9:G9"/>
    <mergeCell ref="B10:C10"/>
    <mergeCell ref="F10:H10"/>
    <mergeCell ref="B11:C11"/>
    <mergeCell ref="F11:G11"/>
    <mergeCell ref="F12:G12"/>
    <mergeCell ref="B21:D21"/>
    <mergeCell ref="F13:G13"/>
    <mergeCell ref="F14:G14"/>
    <mergeCell ref="B16:H16"/>
    <mergeCell ref="G18:H18"/>
    <mergeCell ref="G19:H19"/>
    <mergeCell ref="B22:D22"/>
    <mergeCell ref="B23:D23"/>
    <mergeCell ref="B12:C12"/>
    <mergeCell ref="B13:C13"/>
    <mergeCell ref="B14:C14"/>
    <mergeCell ref="B15:C15"/>
    <mergeCell ref="B18:D18"/>
    <mergeCell ref="B19:D19"/>
    <mergeCell ref="B20:D20"/>
  </mergeCells>
  <pageMargins left="0.7" right="0.7" top="0.75" bottom="0.75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showGridLines="0" workbookViewId="0"/>
  </sheetViews>
  <sheetFormatPr defaultColWidth="14.42578125" defaultRowHeight="15" customHeight="1"/>
  <cols>
    <col min="1" max="1" width="5.85546875" customWidth="1"/>
    <col min="2" max="3" width="15.7109375" customWidth="1"/>
    <col min="4" max="8" width="10.7109375" customWidth="1"/>
    <col min="9" max="26" width="15.7109375" customWidth="1"/>
  </cols>
  <sheetData>
    <row r="1" spans="1:26" ht="15.75" customHeight="1">
      <c r="A1" s="1"/>
      <c r="B1" s="231"/>
      <c r="C1" s="2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56"/>
      <c r="C2" s="2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298" t="s">
        <v>5</v>
      </c>
      <c r="C3" s="249"/>
      <c r="D3" s="226">
        <f>Assumptions!I5</f>
        <v>2023</v>
      </c>
      <c r="E3" s="226">
        <f>Assumptions!J5</f>
        <v>2024</v>
      </c>
      <c r="F3" s="226">
        <f>Assumptions!K5</f>
        <v>2025</v>
      </c>
      <c r="G3" s="226">
        <f>Assumptions!L5</f>
        <v>2026</v>
      </c>
      <c r="H3" s="227">
        <f>Assumptions!M5</f>
        <v>2027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306" t="s">
        <v>188</v>
      </c>
      <c r="C4" s="234"/>
      <c r="D4" s="1"/>
      <c r="E4" s="1"/>
      <c r="F4" s="1"/>
      <c r="G4" s="1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39"/>
      <c r="B5" s="284" t="s">
        <v>7</v>
      </c>
      <c r="C5" s="232"/>
      <c r="D5" s="42">
        <f ca="1">DCF!F21</f>
        <v>5018.8671795013952</v>
      </c>
      <c r="E5" s="42">
        <f ca="1">DCF!G21</f>
        <v>6303.5494608276167</v>
      </c>
      <c r="F5" s="42">
        <f ca="1">DCF!H21</f>
        <v>6194.2894660670036</v>
      </c>
      <c r="G5" s="42">
        <f ca="1">DCF!I21</f>
        <v>6247.2833997120888</v>
      </c>
      <c r="H5" s="55">
        <f ca="1">DCF!J21</f>
        <v>6644.2384880534664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4.75" customHeight="1">
      <c r="A6" s="1"/>
      <c r="B6" s="304" t="s">
        <v>31</v>
      </c>
      <c r="C6" s="232"/>
      <c r="D6" s="228">
        <f ca="1">'Revenue Build'!I9</f>
        <v>0.12174436311343095</v>
      </c>
      <c r="E6" s="228">
        <f ca="1">'Revenue Build'!J9</f>
        <v>0.11417379820868168</v>
      </c>
      <c r="F6" s="228">
        <f ca="1">'Revenue Build'!K9</f>
        <v>0.11225994309228993</v>
      </c>
      <c r="G6" s="228">
        <f ca="1">'Revenue Build'!L9</f>
        <v>0.11181921861294009</v>
      </c>
      <c r="H6" s="229">
        <f ca="1">'Revenue Build'!M9</f>
        <v>0.11041308984603337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39"/>
      <c r="B7" s="284" t="s">
        <v>139</v>
      </c>
      <c r="C7" s="232"/>
      <c r="D7" s="42">
        <f>DCF!F31</f>
        <v>0</v>
      </c>
      <c r="E7" s="42">
        <f>DCF!G31</f>
        <v>0</v>
      </c>
      <c r="F7" s="42">
        <f>DCF!H31</f>
        <v>0</v>
      </c>
      <c r="G7" s="42">
        <f>DCF!I31</f>
        <v>0</v>
      </c>
      <c r="H7" s="55">
        <f>DCF!J31</f>
        <v>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4.75" customHeight="1">
      <c r="A8" s="1"/>
      <c r="B8" s="304" t="s">
        <v>189</v>
      </c>
      <c r="C8" s="232"/>
      <c r="D8" s="228">
        <f>DCF!F32</f>
        <v>0</v>
      </c>
      <c r="E8" s="228">
        <f>DCF!G32</f>
        <v>0</v>
      </c>
      <c r="F8" s="228">
        <f>DCF!H32</f>
        <v>0</v>
      </c>
      <c r="G8" s="228">
        <f>DCF!I32</f>
        <v>0</v>
      </c>
      <c r="H8" s="229">
        <f>DCF!J32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39"/>
      <c r="B9" s="284" t="s">
        <v>24</v>
      </c>
      <c r="C9" s="232"/>
      <c r="D9" s="42">
        <f>DCF!F28</f>
        <v>0</v>
      </c>
      <c r="E9" s="42">
        <f>DCF!G28</f>
        <v>0</v>
      </c>
      <c r="F9" s="42">
        <f>DCF!H28</f>
        <v>0</v>
      </c>
      <c r="G9" s="42">
        <f>DCF!I28</f>
        <v>0</v>
      </c>
      <c r="H9" s="55">
        <f>DCF!J28</f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24.75" customHeight="1">
      <c r="A10" s="10"/>
      <c r="B10" s="304" t="s">
        <v>189</v>
      </c>
      <c r="C10" s="232"/>
      <c r="D10" s="228">
        <f>DCF!F29</f>
        <v>0</v>
      </c>
      <c r="E10" s="228">
        <f>DCF!G29</f>
        <v>0</v>
      </c>
      <c r="F10" s="228">
        <f>DCF!H29</f>
        <v>0</v>
      </c>
      <c r="G10" s="228">
        <f>DCF!I29</f>
        <v>0</v>
      </c>
      <c r="H10" s="229">
        <f>DCF!J29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4.75" customHeight="1">
      <c r="A11" s="39"/>
      <c r="B11" s="284" t="s">
        <v>113</v>
      </c>
      <c r="C11" s="232"/>
      <c r="D11" s="42">
        <f>DCF!F38</f>
        <v>0</v>
      </c>
      <c r="E11" s="42">
        <f>DCF!G38</f>
        <v>0</v>
      </c>
      <c r="F11" s="42">
        <f>DCF!H38</f>
        <v>0</v>
      </c>
      <c r="G11" s="42">
        <f>DCF!I38</f>
        <v>0</v>
      </c>
      <c r="H11" s="55">
        <f>DCF!J38</f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4.75" customHeight="1">
      <c r="A12" s="10"/>
      <c r="B12" s="304" t="s">
        <v>189</v>
      </c>
      <c r="C12" s="232"/>
      <c r="D12" s="228">
        <f t="shared" ref="D12:H12" ca="1" si="0">D11/D5</f>
        <v>0</v>
      </c>
      <c r="E12" s="228">
        <f t="shared" ca="1" si="0"/>
        <v>0</v>
      </c>
      <c r="F12" s="228">
        <f t="shared" ca="1" si="0"/>
        <v>0</v>
      </c>
      <c r="G12" s="228">
        <f t="shared" ca="1" si="0"/>
        <v>0</v>
      </c>
      <c r="H12" s="229">
        <f t="shared" ca="1" si="0"/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4.75" customHeight="1">
      <c r="A13" s="10"/>
      <c r="B13" s="305" t="s">
        <v>150</v>
      </c>
      <c r="C13" s="232"/>
      <c r="D13" s="174">
        <f ca="1">WACC!$H$23</f>
        <v>9.3697430468579992E-2</v>
      </c>
      <c r="E13" s="174">
        <f ca="1">WACC!$H$23</f>
        <v>9.3697430468579992E-2</v>
      </c>
      <c r="F13" s="174">
        <f ca="1">WACC!$H$23</f>
        <v>9.3697430468579992E-2</v>
      </c>
      <c r="G13" s="174">
        <f ca="1">WACC!$H$23</f>
        <v>9.3697430468579992E-2</v>
      </c>
      <c r="H13" s="230">
        <f ca="1">WACC!$H$23</f>
        <v>9.3697430468579992E-2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4.75" customHeight="1">
      <c r="A14" s="1"/>
      <c r="B14" s="246" t="s">
        <v>152</v>
      </c>
      <c r="C14" s="236"/>
      <c r="D14" s="53">
        <f>DCF!F40</f>
        <v>0</v>
      </c>
      <c r="E14" s="53">
        <f>DCF!G40</f>
        <v>0</v>
      </c>
      <c r="F14" s="53">
        <f>DCF!H40</f>
        <v>0</v>
      </c>
      <c r="G14" s="53">
        <f>DCF!I40</f>
        <v>0</v>
      </c>
      <c r="H14" s="54">
        <f>DCF!J40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231"/>
      <c r="C15" s="23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231"/>
      <c r="C16" s="23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231"/>
      <c r="C17" s="23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"/>
      <c r="B18" s="231"/>
      <c r="C18" s="23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31"/>
      <c r="C19" s="23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31"/>
      <c r="C20" s="23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31"/>
      <c r="C21" s="23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31"/>
      <c r="C22" s="23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31"/>
      <c r="C23" s="23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31"/>
      <c r="C24" s="23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31"/>
      <c r="C25" s="23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31"/>
      <c r="C26" s="23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31"/>
      <c r="C27" s="23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31"/>
      <c r="C28" s="23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31"/>
      <c r="C29" s="23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2:C22"/>
    <mergeCell ref="B28:C28"/>
    <mergeCell ref="B29:C29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0230-8A69-4E2F-9D7E-A8FF137B5744}">
  <dimension ref="A1:AM1"/>
  <sheetViews>
    <sheetView workbookViewId="0"/>
  </sheetViews>
  <sheetFormatPr defaultRowHeight="15"/>
  <sheetData>
    <row r="1" spans="1:39">
      <c r="A1">
        <v>39</v>
      </c>
      <c r="B1" t="s">
        <v>192</v>
      </c>
      <c r="C1" t="s">
        <v>193</v>
      </c>
      <c r="D1" t="s">
        <v>194</v>
      </c>
      <c r="E1" t="s">
        <v>195</v>
      </c>
      <c r="F1" t="s">
        <v>196</v>
      </c>
      <c r="G1" t="s">
        <v>197</v>
      </c>
      <c r="H1" t="s">
        <v>198</v>
      </c>
      <c r="I1" t="s">
        <v>199</v>
      </c>
      <c r="J1" t="s">
        <v>200</v>
      </c>
      <c r="K1" t="s">
        <v>201</v>
      </c>
      <c r="L1" t="s">
        <v>202</v>
      </c>
      <c r="M1" t="s">
        <v>203</v>
      </c>
      <c r="N1" t="s">
        <v>204</v>
      </c>
      <c r="O1" t="s">
        <v>205</v>
      </c>
      <c r="P1" t="s">
        <v>206</v>
      </c>
      <c r="Q1" t="s">
        <v>207</v>
      </c>
      <c r="R1" t="s">
        <v>208</v>
      </c>
      <c r="S1" t="s">
        <v>209</v>
      </c>
      <c r="T1" t="s">
        <v>210</v>
      </c>
      <c r="U1" t="s">
        <v>211</v>
      </c>
      <c r="V1" t="s">
        <v>212</v>
      </c>
      <c r="W1" t="s">
        <v>213</v>
      </c>
      <c r="X1" t="s">
        <v>214</v>
      </c>
      <c r="Y1" t="s">
        <v>215</v>
      </c>
      <c r="Z1" t="s">
        <v>216</v>
      </c>
      <c r="AA1" t="s">
        <v>217</v>
      </c>
      <c r="AB1" t="s">
        <v>218</v>
      </c>
      <c r="AC1" t="s">
        <v>219</v>
      </c>
      <c r="AD1" t="s">
        <v>220</v>
      </c>
      <c r="AE1" t="s">
        <v>221</v>
      </c>
      <c r="AF1" t="s">
        <v>222</v>
      </c>
      <c r="AG1" t="s">
        <v>223</v>
      </c>
      <c r="AH1" t="s">
        <v>224</v>
      </c>
      <c r="AI1" t="s">
        <v>225</v>
      </c>
      <c r="AJ1" t="s">
        <v>226</v>
      </c>
      <c r="AK1" t="s">
        <v>227</v>
      </c>
      <c r="AL1" t="s">
        <v>228</v>
      </c>
      <c r="AM1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342"/>
  </sheetPr>
  <dimension ref="A1:Z1000"/>
  <sheetViews>
    <sheetView showGridLines="0" tabSelected="1" workbookViewId="0">
      <selection activeCell="E14" sqref="E14"/>
    </sheetView>
  </sheetViews>
  <sheetFormatPr defaultColWidth="14.42578125" defaultRowHeight="15" customHeight="1"/>
  <cols>
    <col min="1" max="5" width="9.140625" customWidth="1"/>
    <col min="6" max="6" width="11.28515625" customWidth="1"/>
    <col min="7" max="8" width="9.140625" customWidth="1"/>
    <col min="9" max="26" width="8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 t="s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2" t="s">
        <v>1</v>
      </c>
      <c r="E14" s="1"/>
      <c r="F14" s="3">
        <f ca="1">TODAY()</f>
        <v>45012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2" t="s">
        <v>2</v>
      </c>
      <c r="E16" s="1"/>
      <c r="F16" s="2">
        <f ca="1">_xll.ciqfunctions.udf.CIQ("SBUX", "IQ_CLOSEPRICE", $F$14, "USD")</f>
        <v>98.66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2" t="s">
        <v>3</v>
      </c>
      <c r="E18" s="1"/>
      <c r="F18" s="2">
        <v>1</v>
      </c>
      <c r="G18" s="1"/>
      <c r="H18" s="4"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4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4">
        <v>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F18" xr:uid="{00000000-0002-0000-0100-000000000000}">
      <formula1>$H$18:$H$20</formula1>
    </dataValidation>
  </dataValidation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342"/>
  </sheetPr>
  <dimension ref="A1:Z1000"/>
  <sheetViews>
    <sheetView showGridLines="0" workbookViewId="0"/>
  </sheetViews>
  <sheetFormatPr defaultColWidth="14.42578125" defaultRowHeight="15" customHeight="1"/>
  <cols>
    <col min="1" max="1" width="5.85546875" customWidth="1"/>
    <col min="2" max="5" width="13.7109375" customWidth="1"/>
    <col min="6" max="26" width="12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41" t="s">
        <v>4</v>
      </c>
      <c r="C3" s="232"/>
      <c r="D3" s="232"/>
      <c r="E3" s="232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32"/>
      <c r="C4" s="232"/>
      <c r="D4" s="232"/>
      <c r="E4" s="232"/>
      <c r="F4" s="1"/>
      <c r="G4" s="1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42" t="s">
        <v>5</v>
      </c>
      <c r="C5" s="238"/>
      <c r="D5" s="238"/>
      <c r="E5" s="239"/>
      <c r="F5" s="7">
        <f>G5-1</f>
        <v>2020</v>
      </c>
      <c r="G5" s="7">
        <v>2021</v>
      </c>
      <c r="H5" s="8">
        <f t="shared" ref="H5:M5" si="0">G5+1</f>
        <v>2022</v>
      </c>
      <c r="I5" s="9">
        <f t="shared" si="0"/>
        <v>2023</v>
      </c>
      <c r="J5" s="9">
        <f t="shared" si="0"/>
        <v>2024</v>
      </c>
      <c r="K5" s="9">
        <f t="shared" si="0"/>
        <v>2025</v>
      </c>
      <c r="L5" s="9">
        <f t="shared" si="0"/>
        <v>2026</v>
      </c>
      <c r="M5" s="9">
        <f t="shared" si="0"/>
        <v>2027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43" t="s">
        <v>6</v>
      </c>
      <c r="C6" s="232"/>
      <c r="D6" s="232"/>
      <c r="E6" s="232"/>
      <c r="F6" s="1"/>
      <c r="G6" s="1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31"/>
      <c r="C7" s="232"/>
      <c r="D7" s="232"/>
      <c r="E7" s="232"/>
      <c r="F7" s="1"/>
      <c r="G7" s="1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40" t="s">
        <v>7</v>
      </c>
      <c r="C8" s="238"/>
      <c r="D8" s="238"/>
      <c r="E8" s="239"/>
      <c r="F8" s="11">
        <v>23518</v>
      </c>
      <c r="G8" s="11">
        <v>29060.6</v>
      </c>
      <c r="H8" s="12">
        <v>32250.3</v>
      </c>
      <c r="I8" s="11">
        <f ca="1">'Revenue Build'!I8</f>
        <v>33912.126887899998</v>
      </c>
      <c r="J8" s="11">
        <f ca="1">'Revenue Build'!J8</f>
        <v>37784.003220026301</v>
      </c>
      <c r="K8" s="11">
        <f ca="1">'Revenue Build'!K8</f>
        <v>42025.633271305356</v>
      </c>
      <c r="L8" s="11">
        <f ca="1">'Revenue Build'!L8</f>
        <v>46724.906745416694</v>
      </c>
      <c r="M8" s="11">
        <f ca="1">'Revenue Build'!M8</f>
        <v>51883.948071945917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37" t="s">
        <v>8</v>
      </c>
      <c r="C9" s="238"/>
      <c r="D9" s="238"/>
      <c r="E9" s="239"/>
      <c r="F9" s="13">
        <v>-7694.9</v>
      </c>
      <c r="G9" s="13">
        <v>-8738.7000000000007</v>
      </c>
      <c r="H9" s="14">
        <v>-10317.4</v>
      </c>
      <c r="I9" s="15">
        <f ca="1">Assumptions!I11*-1</f>
        <v>-10682.3199696885</v>
      </c>
      <c r="J9" s="15">
        <f ca="1">Assumptions!J11*-1</f>
        <v>-11335.200966007889</v>
      </c>
      <c r="K9" s="15">
        <f ca="1">Assumptions!K11*-1</f>
        <v>-12607.689981391606</v>
      </c>
      <c r="L9" s="15">
        <f ca="1">Assumptions!L11*-1</f>
        <v>-14556.284414035204</v>
      </c>
      <c r="M9" s="15">
        <f ca="1">Assumptions!M11*-1</f>
        <v>-16084.209858869141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37" t="s">
        <v>9</v>
      </c>
      <c r="C10" s="238"/>
      <c r="D10" s="238"/>
      <c r="E10" s="239"/>
      <c r="F10" s="13">
        <v>-10764</v>
      </c>
      <c r="G10" s="13">
        <v>-11930.9</v>
      </c>
      <c r="H10" s="16">
        <v>-13561.8</v>
      </c>
      <c r="I10" s="17">
        <f ca="1">Assumptions!I17*-1</f>
        <v>-13463.114374496299</v>
      </c>
      <c r="J10" s="17">
        <f ca="1">Assumptions!J17*-1</f>
        <v>-15491.441320210783</v>
      </c>
      <c r="K10" s="17">
        <f ca="1">Assumptions!K17*-1</f>
        <v>-17457.630999014422</v>
      </c>
      <c r="L10" s="17">
        <f ca="1">Assumptions!L17*-1</f>
        <v>-18976.80539278797</v>
      </c>
      <c r="M10" s="17">
        <f ca="1">Assumptions!M17*-1</f>
        <v>-20770.315319709942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37" t="s">
        <v>10</v>
      </c>
      <c r="C11" s="238"/>
      <c r="D11" s="238"/>
      <c r="E11" s="239"/>
      <c r="F11" s="13">
        <v>-430.3</v>
      </c>
      <c r="G11" s="13">
        <v>-359.5</v>
      </c>
      <c r="H11" s="16">
        <v>-461.5</v>
      </c>
      <c r="I11" s="17">
        <f ca="1">Assumptions!I23*-1</f>
        <v>-487.95106178632096</v>
      </c>
      <c r="J11" s="17">
        <f ca="1">Assumptions!J23*-1</f>
        <v>-545.58675905020766</v>
      </c>
      <c r="K11" s="17">
        <f ca="1">Assumptions!K23*-1</f>
        <v>-612.00082663428316</v>
      </c>
      <c r="L11" s="17">
        <f ca="1">Assumptions!L23*-1</f>
        <v>-713.17738457211226</v>
      </c>
      <c r="M11" s="17">
        <f ca="1">Assumptions!M23*-1</f>
        <v>-864.69803146467154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37" t="s">
        <v>11</v>
      </c>
      <c r="C12" s="238"/>
      <c r="D12" s="238"/>
      <c r="E12" s="239"/>
      <c r="F12" s="13">
        <v>-1431.3</v>
      </c>
      <c r="G12" s="13">
        <v>-1441.7</v>
      </c>
      <c r="H12" s="14">
        <v>-1447.9</v>
      </c>
      <c r="I12" s="15">
        <f ca="1">Assumptions!I29*-1</f>
        <v>-1309.7286043343861</v>
      </c>
      <c r="J12" s="15">
        <f ca="1">Assumptions!J29*-1</f>
        <v>-1422.8601142760165</v>
      </c>
      <c r="K12" s="15">
        <f ca="1">Assumptions!K29*-1</f>
        <v>-1588.1752518067408</v>
      </c>
      <c r="L12" s="15">
        <f ca="1">Assumptions!L29*-1</f>
        <v>-1830.0956852036436</v>
      </c>
      <c r="M12" s="15">
        <f ca="1">Assumptions!M29*-1</f>
        <v>-2004.1985436576615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237" t="s">
        <v>12</v>
      </c>
      <c r="C13" s="238"/>
      <c r="D13" s="238"/>
      <c r="E13" s="239"/>
      <c r="F13" s="13">
        <v>-1679.6</v>
      </c>
      <c r="G13" s="13">
        <v>-1932.6</v>
      </c>
      <c r="H13" s="14">
        <v>-2032</v>
      </c>
      <c r="I13" s="15">
        <f ca="1">Assumptions!I35*-1</f>
        <v>-2137.7353093733404</v>
      </c>
      <c r="J13" s="15">
        <f ca="1">Assumptions!J35*-1</f>
        <v>-2291.0874714243091</v>
      </c>
      <c r="K13" s="15">
        <f ca="1">Assumptions!K35*-1</f>
        <v>-2545.4315679642286</v>
      </c>
      <c r="L13" s="15">
        <f ca="1">Assumptions!L35*-1</f>
        <v>-2685.7120790911226</v>
      </c>
      <c r="M13" s="15">
        <f ca="1">Assumptions!M35*-1</f>
        <v>-2798.6463168910336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37" t="s">
        <v>13</v>
      </c>
      <c r="C14" s="238"/>
      <c r="D14" s="238"/>
      <c r="E14" s="239"/>
      <c r="F14" s="13">
        <v>-278.7</v>
      </c>
      <c r="G14" s="13">
        <v>-170.4</v>
      </c>
      <c r="H14" s="14">
        <v>-46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37" t="s">
        <v>14</v>
      </c>
      <c r="C15" s="238"/>
      <c r="D15" s="238"/>
      <c r="E15" s="239"/>
      <c r="F15" s="13">
        <v>322.5</v>
      </c>
      <c r="G15" s="13">
        <v>385.3</v>
      </c>
      <c r="H15" s="14">
        <v>234.1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40" t="s">
        <v>15</v>
      </c>
      <c r="C16" s="238"/>
      <c r="D16" s="238"/>
      <c r="E16" s="239"/>
      <c r="F16" s="11">
        <f t="shared" ref="F16:M16" si="1">SUM(F8:F15)</f>
        <v>1561.7</v>
      </c>
      <c r="G16" s="11">
        <f t="shared" si="1"/>
        <v>4872.0999999999995</v>
      </c>
      <c r="H16" s="12">
        <f t="shared" si="1"/>
        <v>4617.8000000000029</v>
      </c>
      <c r="I16" s="11">
        <f t="shared" ca="1" si="1"/>
        <v>5831.2775682211523</v>
      </c>
      <c r="J16" s="11">
        <f t="shared" ca="1" si="1"/>
        <v>6697.8265890570947</v>
      </c>
      <c r="K16" s="11">
        <f t="shared" ca="1" si="1"/>
        <v>7214.7046444940761</v>
      </c>
      <c r="L16" s="11">
        <f t="shared" ca="1" si="1"/>
        <v>7962.8317897266425</v>
      </c>
      <c r="M16" s="11">
        <f t="shared" ca="1" si="1"/>
        <v>9361.880001353471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37" t="s">
        <v>16</v>
      </c>
      <c r="C17" s="238"/>
      <c r="D17" s="238"/>
      <c r="E17" s="239"/>
      <c r="F17" s="13">
        <v>-437</v>
      </c>
      <c r="G17" s="13">
        <v>-469.8</v>
      </c>
      <c r="H17" s="14">
        <v>-482</v>
      </c>
      <c r="I17" s="15">
        <f ca="1">Assumptions!I41*-1</f>
        <v>-450.19856184153792</v>
      </c>
      <c r="J17" s="15">
        <f ca="1">Assumptions!J41*-1</f>
        <v>-571.97092010963058</v>
      </c>
      <c r="K17" s="15">
        <f ca="1">Assumptions!K41*-1</f>
        <v>-646.99932831197782</v>
      </c>
      <c r="L17" s="15">
        <f ca="1">Assumptions!L41*-1</f>
        <v>-778.20815985954187</v>
      </c>
      <c r="M17" s="15">
        <f ca="1">Assumptions!M41*-1</f>
        <v>-892.28158874078474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37" t="s">
        <v>17</v>
      </c>
      <c r="C18" s="238"/>
      <c r="D18" s="238"/>
      <c r="E18" s="239"/>
      <c r="F18" s="13">
        <v>39.700000000000003</v>
      </c>
      <c r="G18" s="13">
        <v>90.1</v>
      </c>
      <c r="H18" s="16">
        <v>97</v>
      </c>
      <c r="I18" s="17">
        <f ca="1">Assumptions!I47</f>
        <v>43.604137436224427</v>
      </c>
      <c r="J18" s="17">
        <f ca="1">Assumptions!J47</f>
        <v>54.087530171816795</v>
      </c>
      <c r="K18" s="17">
        <f ca="1">Assumptions!K47</f>
        <v>45.025099455628869</v>
      </c>
      <c r="L18" s="17">
        <f ca="1">Assumptions!L47</f>
        <v>27.210762469211446</v>
      </c>
      <c r="M18" s="17">
        <f ca="1">Assumptions!M47</f>
        <v>39.257497246902652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37" t="s">
        <v>18</v>
      </c>
      <c r="C19" s="238"/>
      <c r="D19" s="238"/>
      <c r="E19" s="239"/>
      <c r="F19" s="13">
        <v>0</v>
      </c>
      <c r="G19" s="13">
        <v>864.5</v>
      </c>
      <c r="H19" s="14">
        <v>0</v>
      </c>
      <c r="I19" s="15"/>
      <c r="J19" s="15"/>
      <c r="K19" s="15"/>
      <c r="L19" s="15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40" t="s">
        <v>19</v>
      </c>
      <c r="C20" s="238"/>
      <c r="D20" s="238"/>
      <c r="E20" s="239"/>
      <c r="F20" s="11">
        <f t="shared" ref="F20:H20" si="2">SUM(F16:F19)</f>
        <v>1164.4000000000001</v>
      </c>
      <c r="G20" s="11">
        <f t="shared" si="2"/>
        <v>5356.9</v>
      </c>
      <c r="H20" s="12">
        <f t="shared" si="2"/>
        <v>4232.8000000000029</v>
      </c>
      <c r="I20" s="11">
        <f t="shared" ref="I20:M20" ca="1" si="3">SUM(I19,I16)</f>
        <v>5831.2775682211523</v>
      </c>
      <c r="J20" s="11">
        <f t="shared" ca="1" si="3"/>
        <v>6697.8265890570947</v>
      </c>
      <c r="K20" s="11">
        <f t="shared" ca="1" si="3"/>
        <v>7214.7046444940761</v>
      </c>
      <c r="L20" s="11">
        <f t="shared" ca="1" si="3"/>
        <v>7962.8317897266425</v>
      </c>
      <c r="M20" s="11">
        <f t="shared" ca="1" si="3"/>
        <v>9361.880001353471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37" t="s">
        <v>20</v>
      </c>
      <c r="C21" s="238"/>
      <c r="D21" s="238"/>
      <c r="E21" s="239"/>
      <c r="F21" s="13">
        <v>-239.7</v>
      </c>
      <c r="G21" s="13">
        <v>-1156.5999999999999</v>
      </c>
      <c r="H21" s="14">
        <v>-948.5</v>
      </c>
      <c r="I21" s="15">
        <f ca="1">-Assumptions!I53</f>
        <v>-1306.6922069216025</v>
      </c>
      <c r="J21" s="15">
        <f ca="1">-Assumptions!J53</f>
        <v>-1500.8714136554172</v>
      </c>
      <c r="K21" s="15">
        <f ca="1">-Assumptions!K53</f>
        <v>-1616.6951793854248</v>
      </c>
      <c r="L21" s="15">
        <f ca="1">-Assumptions!L53</f>
        <v>-1784.3380156293033</v>
      </c>
      <c r="M21" s="15">
        <f ca="1">-Assumptions!M53</f>
        <v>-2097.8414244197129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37" t="s">
        <v>21</v>
      </c>
      <c r="C22" s="238"/>
      <c r="D22" s="238"/>
      <c r="E22" s="239"/>
      <c r="F22" s="13">
        <f>3.6</f>
        <v>3.6</v>
      </c>
      <c r="G22" s="13">
        <v>-1</v>
      </c>
      <c r="H22" s="14">
        <v>-1.8</v>
      </c>
      <c r="I22" s="15">
        <f t="shared" ref="I22:M22" si="4">H22</f>
        <v>-1.8</v>
      </c>
      <c r="J22" s="15">
        <f t="shared" si="4"/>
        <v>-1.8</v>
      </c>
      <c r="K22" s="15">
        <f t="shared" si="4"/>
        <v>-1.8</v>
      </c>
      <c r="L22" s="15">
        <f t="shared" si="4"/>
        <v>-1.8</v>
      </c>
      <c r="M22" s="15">
        <f t="shared" si="4"/>
        <v>-1.8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40" t="s">
        <v>22</v>
      </c>
      <c r="C23" s="238"/>
      <c r="D23" s="238"/>
      <c r="E23" s="239"/>
      <c r="F23" s="11">
        <f t="shared" ref="F23:M23" si="5">SUM(F20:F22)</f>
        <v>928.30000000000007</v>
      </c>
      <c r="G23" s="11">
        <f t="shared" si="5"/>
        <v>4199.2999999999993</v>
      </c>
      <c r="H23" s="12">
        <f t="shared" si="5"/>
        <v>3282.5000000000027</v>
      </c>
      <c r="I23" s="11">
        <f t="shared" ca="1" si="5"/>
        <v>4522.7853612995495</v>
      </c>
      <c r="J23" s="11">
        <f t="shared" ca="1" si="5"/>
        <v>5195.1551754016773</v>
      </c>
      <c r="K23" s="11">
        <f t="shared" ca="1" si="5"/>
        <v>5596.2094651086509</v>
      </c>
      <c r="L23" s="11">
        <f t="shared" ca="1" si="5"/>
        <v>6176.693774097339</v>
      </c>
      <c r="M23" s="11">
        <f t="shared" ca="1" si="5"/>
        <v>7262.2385769337579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31"/>
      <c r="C24" s="232"/>
      <c r="D24" s="232"/>
      <c r="E24" s="232"/>
      <c r="F24" s="17"/>
      <c r="G24" s="17"/>
      <c r="H24" s="18"/>
      <c r="I24" s="17"/>
      <c r="J24" s="17"/>
      <c r="K24" s="17"/>
      <c r="L24" s="17"/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37" t="s">
        <v>23</v>
      </c>
      <c r="C25" s="238"/>
      <c r="D25" s="238"/>
      <c r="E25" s="239"/>
      <c r="F25" s="15">
        <f t="shared" ref="F25:H25" si="6">-F12</f>
        <v>1431.3</v>
      </c>
      <c r="G25" s="15">
        <f t="shared" si="6"/>
        <v>1441.7</v>
      </c>
      <c r="H25" s="19">
        <f t="shared" si="6"/>
        <v>1447.9</v>
      </c>
      <c r="I25" s="15">
        <f t="shared" ref="I25:M25" ca="1" si="7">-I11</f>
        <v>487.95106178632096</v>
      </c>
      <c r="J25" s="15">
        <f t="shared" ca="1" si="7"/>
        <v>545.58675905020766</v>
      </c>
      <c r="K25" s="15">
        <f t="shared" ca="1" si="7"/>
        <v>612.00082663428316</v>
      </c>
      <c r="L25" s="15">
        <f t="shared" ca="1" si="7"/>
        <v>713.17738457211226</v>
      </c>
      <c r="M25" s="15">
        <f t="shared" ca="1" si="7"/>
        <v>864.69803146467154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40" t="s">
        <v>24</v>
      </c>
      <c r="C26" s="238"/>
      <c r="D26" s="238"/>
      <c r="E26" s="239"/>
      <c r="F26" s="11">
        <f t="shared" ref="F26:M26" si="8">F16+F25</f>
        <v>2993</v>
      </c>
      <c r="G26" s="11">
        <f t="shared" si="8"/>
        <v>6313.7999999999993</v>
      </c>
      <c r="H26" s="12">
        <f t="shared" si="8"/>
        <v>6065.7000000000025</v>
      </c>
      <c r="I26" s="11">
        <f t="shared" ca="1" si="8"/>
        <v>6319.2286300074729</v>
      </c>
      <c r="J26" s="11">
        <f t="shared" ca="1" si="8"/>
        <v>7243.4133481073022</v>
      </c>
      <c r="K26" s="11">
        <f t="shared" ca="1" si="8"/>
        <v>7826.705471128359</v>
      </c>
      <c r="L26" s="11">
        <f t="shared" ca="1" si="8"/>
        <v>8676.0091742987552</v>
      </c>
      <c r="M26" s="11">
        <f t="shared" ca="1" si="8"/>
        <v>10226.578032818143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37" t="s">
        <v>25</v>
      </c>
      <c r="C27" s="238"/>
      <c r="D27" s="238"/>
      <c r="E27" s="239"/>
      <c r="F27" s="15"/>
      <c r="G27" s="15"/>
      <c r="H27" s="19"/>
      <c r="I27" s="15"/>
      <c r="J27" s="15"/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40" t="s">
        <v>26</v>
      </c>
      <c r="C28" s="238"/>
      <c r="D28" s="238"/>
      <c r="E28" s="239"/>
      <c r="F28" s="11">
        <f t="shared" ref="F28:M28" si="9">SUM(F26:F27)</f>
        <v>2993</v>
      </c>
      <c r="G28" s="11">
        <f t="shared" si="9"/>
        <v>6313.7999999999993</v>
      </c>
      <c r="H28" s="12">
        <f t="shared" si="9"/>
        <v>6065.7000000000025</v>
      </c>
      <c r="I28" s="11">
        <f t="shared" ca="1" si="9"/>
        <v>6319.2286300074729</v>
      </c>
      <c r="J28" s="11">
        <f t="shared" ca="1" si="9"/>
        <v>7243.4133481073022</v>
      </c>
      <c r="K28" s="11">
        <f t="shared" ca="1" si="9"/>
        <v>7826.705471128359</v>
      </c>
      <c r="L28" s="11">
        <f t="shared" ca="1" si="9"/>
        <v>8676.0091742987552</v>
      </c>
      <c r="M28" s="11">
        <f t="shared" ca="1" si="9"/>
        <v>10226.578032818143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7"/>
      <c r="G29" s="17"/>
      <c r="H29" s="18"/>
      <c r="I29" s="17"/>
      <c r="J29" s="17"/>
      <c r="K29" s="17"/>
      <c r="L29" s="17"/>
      <c r="M29" s="1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33" t="s">
        <v>27</v>
      </c>
      <c r="C30" s="234"/>
      <c r="D30" s="234"/>
      <c r="E30" s="234"/>
      <c r="F30" s="20">
        <v>443.9</v>
      </c>
      <c r="G30" s="20">
        <v>432</v>
      </c>
      <c r="H30" s="21">
        <v>377.9</v>
      </c>
      <c r="I30" s="22"/>
      <c r="J30" s="22"/>
      <c r="K30" s="22"/>
      <c r="L30" s="22"/>
      <c r="M30" s="2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35" t="s">
        <v>28</v>
      </c>
      <c r="C31" s="236"/>
      <c r="D31" s="236"/>
      <c r="E31" s="236"/>
      <c r="F31" s="24"/>
      <c r="G31" s="24">
        <f>(9756.4-8151.4)</f>
        <v>1605</v>
      </c>
      <c r="H31" s="25">
        <f>(7018.7-9151.8)</f>
        <v>-2133.0999999999995</v>
      </c>
      <c r="I31" s="26">
        <f ca="1">(NWC!I23)</f>
        <v>585.58317208935296</v>
      </c>
      <c r="J31" s="26">
        <f ca="1">(NWC!J23)</f>
        <v>-590.1131216639651</v>
      </c>
      <c r="K31" s="26">
        <f ca="1">(NWC!K23)</f>
        <v>-562.61571702398305</v>
      </c>
      <c r="L31" s="26">
        <f ca="1">(NWC!L23)</f>
        <v>-538.75839271661789</v>
      </c>
      <c r="M31" s="27">
        <f>(NWC!N23)</f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31"/>
      <c r="C32" s="232"/>
      <c r="D32" s="232"/>
      <c r="E32" s="232"/>
      <c r="F32" s="1"/>
      <c r="G32" s="1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31"/>
      <c r="C33" s="232"/>
      <c r="D33" s="232"/>
      <c r="E33" s="232"/>
      <c r="F33" s="1"/>
      <c r="G33" s="1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31"/>
      <c r="C34" s="232"/>
      <c r="D34" s="232"/>
      <c r="E34" s="232"/>
      <c r="F34" s="1"/>
      <c r="G34" s="1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31"/>
      <c r="C35" s="232"/>
      <c r="D35" s="232"/>
      <c r="E35" s="232"/>
      <c r="F35" s="1"/>
      <c r="G35" s="1"/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31"/>
      <c r="C36" s="232"/>
      <c r="D36" s="232"/>
      <c r="E36" s="232"/>
      <c r="F36" s="1"/>
      <c r="G36" s="1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31"/>
      <c r="C37" s="232"/>
      <c r="D37" s="232"/>
      <c r="E37" s="232"/>
      <c r="F37" s="1"/>
      <c r="G37" s="1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31"/>
      <c r="C38" s="232"/>
      <c r="D38" s="232"/>
      <c r="E38" s="232"/>
      <c r="F38" s="1"/>
      <c r="G38" s="1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31"/>
      <c r="C39" s="232"/>
      <c r="D39" s="232"/>
      <c r="E39" s="232"/>
      <c r="F39" s="1"/>
      <c r="G39" s="1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31"/>
      <c r="C40" s="232"/>
      <c r="D40" s="232"/>
      <c r="E40" s="232"/>
      <c r="F40" s="1"/>
      <c r="G40" s="1"/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31"/>
      <c r="C41" s="232"/>
      <c r="D41" s="232"/>
      <c r="E41" s="232"/>
      <c r="F41" s="1"/>
      <c r="G41" s="1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31"/>
      <c r="C42" s="232"/>
      <c r="D42" s="232"/>
      <c r="E42" s="232"/>
      <c r="F42" s="1"/>
      <c r="G42" s="1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31"/>
      <c r="C43" s="232"/>
      <c r="D43" s="232"/>
      <c r="E43" s="232"/>
      <c r="F43" s="1"/>
      <c r="G43" s="1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31"/>
      <c r="C44" s="232"/>
      <c r="D44" s="232"/>
      <c r="E44" s="232"/>
      <c r="F44" s="1"/>
      <c r="G44" s="1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31"/>
      <c r="C45" s="232"/>
      <c r="D45" s="232"/>
      <c r="E45" s="232"/>
      <c r="F45" s="1"/>
      <c r="G45" s="1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31"/>
      <c r="C46" s="232"/>
      <c r="D46" s="232"/>
      <c r="E46" s="232"/>
      <c r="F46" s="1"/>
      <c r="G46" s="1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31"/>
      <c r="C47" s="232"/>
      <c r="D47" s="232"/>
      <c r="E47" s="232"/>
      <c r="F47" s="1"/>
      <c r="G47" s="1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31"/>
      <c r="C48" s="232"/>
      <c r="D48" s="232"/>
      <c r="E48" s="232"/>
      <c r="F48" s="1"/>
      <c r="G48" s="1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31"/>
      <c r="C49" s="232"/>
      <c r="D49" s="232"/>
      <c r="E49" s="232"/>
      <c r="F49" s="1"/>
      <c r="G49" s="1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31"/>
      <c r="C50" s="232"/>
      <c r="D50" s="232"/>
      <c r="E50" s="232"/>
      <c r="F50" s="1"/>
      <c r="G50" s="1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31"/>
      <c r="C51" s="232"/>
      <c r="D51" s="232"/>
      <c r="E51" s="232"/>
      <c r="F51" s="1"/>
      <c r="G51" s="1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31"/>
      <c r="C52" s="232"/>
      <c r="D52" s="232"/>
      <c r="E52" s="232"/>
      <c r="F52" s="1"/>
      <c r="G52" s="1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31"/>
      <c r="C53" s="232"/>
      <c r="D53" s="232"/>
      <c r="E53" s="232"/>
      <c r="F53" s="1"/>
      <c r="G53" s="1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31"/>
      <c r="C54" s="232"/>
      <c r="D54" s="232"/>
      <c r="E54" s="232"/>
      <c r="F54" s="1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31"/>
      <c r="C55" s="232"/>
      <c r="D55" s="232"/>
      <c r="E55" s="232"/>
      <c r="F55" s="1"/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3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54:E54"/>
    <mergeCell ref="B55:E55"/>
    <mergeCell ref="B47:E47"/>
    <mergeCell ref="B48:E48"/>
    <mergeCell ref="B49:E49"/>
    <mergeCell ref="B50:E50"/>
    <mergeCell ref="B51:E51"/>
    <mergeCell ref="B52:E52"/>
    <mergeCell ref="B53:E53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16342"/>
  </sheetPr>
  <dimension ref="A1:Z1000"/>
  <sheetViews>
    <sheetView showGridLines="0" zoomScale="73" zoomScaleNormal="73" workbookViewId="0">
      <pane xSplit="5" ySplit="5" topLeftCell="F21" activePane="bottomRight" state="frozen"/>
      <selection pane="topRight" activeCell="F1" sqref="F1"/>
      <selection pane="bottomLeft" activeCell="A6" sqref="A6"/>
      <selection pane="bottomRight" activeCell="T44" sqref="T44"/>
    </sheetView>
  </sheetViews>
  <sheetFormatPr defaultColWidth="14.42578125" defaultRowHeight="15" customHeight="1"/>
  <cols>
    <col min="1" max="1" width="5.85546875" customWidth="1"/>
    <col min="2" max="13" width="14.28515625" customWidth="1"/>
    <col min="14" max="14" width="5.7109375" customWidth="1"/>
    <col min="15" max="15" width="15.7109375" customWidth="1"/>
    <col min="16" max="16" width="5.7109375" customWidth="1"/>
    <col min="17" max="26" width="12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1"/>
      <c r="O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2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41" t="s">
        <v>29</v>
      </c>
      <c r="C3" s="232"/>
      <c r="D3" s="232"/>
      <c r="E3" s="232"/>
      <c r="F3" s="1"/>
      <c r="G3" s="1"/>
      <c r="H3" s="6"/>
      <c r="I3" s="1"/>
      <c r="J3" s="1"/>
      <c r="K3" s="1"/>
      <c r="L3" s="1"/>
      <c r="M3" s="1"/>
      <c r="N3" s="1"/>
      <c r="O3" s="28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32"/>
      <c r="C4" s="232"/>
      <c r="D4" s="232"/>
      <c r="E4" s="232"/>
      <c r="F4" s="1"/>
      <c r="G4" s="1"/>
      <c r="H4" s="6"/>
      <c r="I4" s="1"/>
      <c r="J4" s="1"/>
      <c r="K4" s="1"/>
      <c r="L4" s="1"/>
      <c r="M4" s="1"/>
      <c r="N4" s="1"/>
      <c r="O4" s="28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47" t="s">
        <v>5</v>
      </c>
      <c r="C5" s="248"/>
      <c r="D5" s="248"/>
      <c r="E5" s="249"/>
      <c r="F5" s="29">
        <f t="shared" ref="F5:G5" si="0">G5-1</f>
        <v>2020</v>
      </c>
      <c r="G5" s="29">
        <f t="shared" si="0"/>
        <v>2021</v>
      </c>
      <c r="H5" s="30">
        <v>2022</v>
      </c>
      <c r="I5" s="31">
        <f t="shared" ref="I5:M5" si="1">H5+1</f>
        <v>2023</v>
      </c>
      <c r="J5" s="31">
        <f t="shared" si="1"/>
        <v>2024</v>
      </c>
      <c r="K5" s="31">
        <f t="shared" si="1"/>
        <v>2025</v>
      </c>
      <c r="L5" s="31">
        <f t="shared" si="1"/>
        <v>2026</v>
      </c>
      <c r="M5" s="32">
        <f t="shared" si="1"/>
        <v>2027</v>
      </c>
      <c r="N5" s="1"/>
      <c r="O5" s="28"/>
      <c r="P5" s="1"/>
      <c r="Q5" s="253" t="s">
        <v>30</v>
      </c>
      <c r="R5" s="254"/>
      <c r="S5" s="254"/>
      <c r="T5" s="254"/>
      <c r="U5" s="254"/>
      <c r="V5" s="1"/>
      <c r="W5" s="1"/>
      <c r="X5" s="1"/>
      <c r="Y5" s="1"/>
      <c r="Z5" s="1"/>
    </row>
    <row r="6" spans="1:26" ht="15.75" customHeight="1">
      <c r="A6" s="1"/>
      <c r="B6" s="255" t="s">
        <v>6</v>
      </c>
      <c r="C6" s="234"/>
      <c r="D6" s="234"/>
      <c r="E6" s="234"/>
      <c r="F6" s="1"/>
      <c r="G6" s="1"/>
      <c r="H6" s="6"/>
      <c r="I6" s="1"/>
      <c r="J6" s="1"/>
      <c r="K6" s="1"/>
      <c r="L6" s="1"/>
      <c r="M6" s="1"/>
      <c r="N6" s="1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1"/>
      <c r="F7" s="1"/>
      <c r="G7" s="1"/>
      <c r="H7" s="6"/>
      <c r="I7" s="1"/>
      <c r="J7" s="1"/>
      <c r="K7" s="1"/>
      <c r="L7" s="1"/>
      <c r="M7" s="1"/>
      <c r="N7" s="1"/>
      <c r="O7" s="2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45" t="s">
        <v>7</v>
      </c>
      <c r="C8" s="234"/>
      <c r="D8" s="234"/>
      <c r="E8" s="234"/>
      <c r="F8" s="34">
        <f t="shared" ref="F8:M8" si="2">SUM(F20,F29,F40,F49)</f>
        <v>21491.7</v>
      </c>
      <c r="G8" s="34">
        <f t="shared" si="2"/>
        <v>27290.600000000002</v>
      </c>
      <c r="H8" s="35">
        <f t="shared" si="2"/>
        <v>30231.599999999999</v>
      </c>
      <c r="I8" s="34">
        <f t="shared" ca="1" si="2"/>
        <v>33912.126887899998</v>
      </c>
      <c r="J8" s="34">
        <f t="shared" ca="1" si="2"/>
        <v>37784.003220026301</v>
      </c>
      <c r="K8" s="34">
        <f t="shared" ca="1" si="2"/>
        <v>42025.633271305356</v>
      </c>
      <c r="L8" s="34">
        <f t="shared" ca="1" si="2"/>
        <v>46724.906745416694</v>
      </c>
      <c r="M8" s="35">
        <f t="shared" ca="1" si="2"/>
        <v>51883.948071945917</v>
      </c>
      <c r="N8" s="1"/>
      <c r="O8" s="2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52" t="s">
        <v>31</v>
      </c>
      <c r="C9" s="236"/>
      <c r="D9" s="236"/>
      <c r="E9" s="236"/>
      <c r="F9" s="37"/>
      <c r="G9" s="37">
        <f t="shared" ref="G9:M9" si="3">G8/F8-1</f>
        <v>0.26982044231028723</v>
      </c>
      <c r="H9" s="38">
        <f t="shared" si="3"/>
        <v>0.10776604398584122</v>
      </c>
      <c r="I9" s="37">
        <f t="shared" ca="1" si="3"/>
        <v>0.12174436311343095</v>
      </c>
      <c r="J9" s="37">
        <f t="shared" ca="1" si="3"/>
        <v>0.11417379820868168</v>
      </c>
      <c r="K9" s="37">
        <f t="shared" ca="1" si="3"/>
        <v>0.11225994309228993</v>
      </c>
      <c r="L9" s="37">
        <f t="shared" ca="1" si="3"/>
        <v>0.11181921861294009</v>
      </c>
      <c r="M9" s="38">
        <f t="shared" ca="1" si="3"/>
        <v>0.11041308984603337</v>
      </c>
      <c r="N9" s="1"/>
      <c r="O9" s="2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6"/>
      <c r="I10" s="1"/>
      <c r="J10" s="1"/>
      <c r="K10" s="1"/>
      <c r="L10" s="1"/>
      <c r="M10" s="1"/>
      <c r="N10" s="1"/>
      <c r="O10" s="2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47" t="s">
        <v>32</v>
      </c>
      <c r="C11" s="248"/>
      <c r="D11" s="248"/>
      <c r="E11" s="249"/>
      <c r="F11" s="29">
        <f t="shared" ref="F11:G11" si="4">G11-1</f>
        <v>2020</v>
      </c>
      <c r="G11" s="29">
        <f t="shared" si="4"/>
        <v>2021</v>
      </c>
      <c r="H11" s="30">
        <v>2022</v>
      </c>
      <c r="I11" s="31">
        <f t="shared" ref="I11:M11" si="5">H11+1</f>
        <v>2023</v>
      </c>
      <c r="J11" s="31">
        <f t="shared" si="5"/>
        <v>2024</v>
      </c>
      <c r="K11" s="31">
        <f t="shared" si="5"/>
        <v>2025</v>
      </c>
      <c r="L11" s="31">
        <f t="shared" si="5"/>
        <v>2026</v>
      </c>
      <c r="M11" s="32">
        <f t="shared" si="5"/>
        <v>2027</v>
      </c>
      <c r="N11" s="1"/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50"/>
      <c r="C12" s="234"/>
      <c r="D12" s="234"/>
      <c r="E12" s="234"/>
      <c r="F12" s="1"/>
      <c r="G12" s="1"/>
      <c r="H12" s="6"/>
      <c r="I12" s="1"/>
      <c r="J12" s="1"/>
      <c r="K12" s="1"/>
      <c r="L12" s="1"/>
      <c r="M12" s="1"/>
      <c r="N12" s="1"/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9"/>
      <c r="B13" s="251" t="s">
        <v>33</v>
      </c>
      <c r="C13" s="232"/>
      <c r="D13" s="232"/>
      <c r="E13" s="232"/>
      <c r="F13" s="40">
        <v>10109</v>
      </c>
      <c r="G13" s="40">
        <v>9861</v>
      </c>
      <c r="H13" s="41">
        <v>10216</v>
      </c>
      <c r="I13" s="42">
        <f t="shared" ref="I13:M13" ca="1" si="6">H13*(1+I14)</f>
        <v>10573.56</v>
      </c>
      <c r="J13" s="42">
        <f t="shared" ca="1" si="6"/>
        <v>10922.487479999998</v>
      </c>
      <c r="K13" s="42">
        <f t="shared" ca="1" si="6"/>
        <v>11282.929566839997</v>
      </c>
      <c r="L13" s="42">
        <f t="shared" ca="1" si="6"/>
        <v>11677.832101679396</v>
      </c>
      <c r="M13" s="42">
        <f t="shared" ca="1" si="6"/>
        <v>12086.556225238173</v>
      </c>
      <c r="N13" s="39"/>
      <c r="O13" s="43"/>
      <c r="P13" s="39"/>
      <c r="Q13" s="1"/>
      <c r="R13" s="1"/>
      <c r="S13" s="1"/>
      <c r="T13" s="1"/>
      <c r="U13" s="1"/>
      <c r="V13" s="39"/>
      <c r="W13" s="39"/>
      <c r="X13" s="39"/>
      <c r="Y13" s="39"/>
      <c r="Z13" s="39"/>
    </row>
    <row r="14" spans="1:26" ht="15.75" customHeight="1">
      <c r="A14" s="39"/>
      <c r="B14" s="243" t="s">
        <v>31</v>
      </c>
      <c r="C14" s="232"/>
      <c r="D14" s="232"/>
      <c r="E14" s="232"/>
      <c r="F14" s="42"/>
      <c r="G14" s="44">
        <f t="shared" ref="G14:H14" si="7">G13/F13-1</f>
        <v>-2.4532594717578404E-2</v>
      </c>
      <c r="H14" s="45">
        <f t="shared" si="7"/>
        <v>3.6000405638373367E-2</v>
      </c>
      <c r="I14" s="44">
        <f ca="1">OFFSET(I14,Cover!$F$18,0)</f>
        <v>3.5000000000000003E-2</v>
      </c>
      <c r="J14" s="44">
        <f ca="1">OFFSET(J14,Cover!$F$18,0)</f>
        <v>3.3000000000000002E-2</v>
      </c>
      <c r="K14" s="44">
        <f ca="1">OFFSET(K14,Cover!$F$18,0)</f>
        <v>3.3000000000000002E-2</v>
      </c>
      <c r="L14" s="44">
        <f ca="1">OFFSET(L14,Cover!$F$18,0)</f>
        <v>3.5000000000000003E-2</v>
      </c>
      <c r="M14" s="44">
        <f ca="1">OFFSET(M14,Cover!$F$18,0)</f>
        <v>3.5000000000000003E-2</v>
      </c>
      <c r="N14" s="39"/>
      <c r="O14" s="43"/>
      <c r="P14" s="39"/>
      <c r="Q14" s="1"/>
      <c r="R14" s="1"/>
      <c r="S14" s="1"/>
      <c r="T14" s="1"/>
      <c r="U14" s="1"/>
      <c r="V14" s="39"/>
      <c r="W14" s="39"/>
      <c r="X14" s="39"/>
      <c r="Y14" s="39"/>
      <c r="Z14" s="39"/>
    </row>
    <row r="15" spans="1:26" ht="15.75" customHeight="1">
      <c r="A15" s="1"/>
      <c r="B15" s="244" t="s">
        <v>34</v>
      </c>
      <c r="C15" s="232"/>
      <c r="D15" s="232"/>
      <c r="E15" s="232"/>
      <c r="F15" s="1"/>
      <c r="G15" s="1"/>
      <c r="H15" s="6"/>
      <c r="I15" s="47">
        <v>3.5000000000000003E-2</v>
      </c>
      <c r="J15" s="47">
        <v>3.3000000000000002E-2</v>
      </c>
      <c r="K15" s="47">
        <v>3.3000000000000002E-2</v>
      </c>
      <c r="L15" s="47">
        <v>3.5000000000000003E-2</v>
      </c>
      <c r="M15" s="47">
        <v>3.5000000000000003E-2</v>
      </c>
      <c r="N15" s="1"/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44" t="s">
        <v>35</v>
      </c>
      <c r="C16" s="232"/>
      <c r="D16" s="232"/>
      <c r="E16" s="232"/>
      <c r="F16" s="1"/>
      <c r="G16" s="1"/>
      <c r="H16" s="6"/>
      <c r="I16" s="47">
        <f t="shared" ref="I16:M16" si="8">I15*1.2</f>
        <v>4.2000000000000003E-2</v>
      </c>
      <c r="J16" s="47">
        <f t="shared" si="8"/>
        <v>3.9600000000000003E-2</v>
      </c>
      <c r="K16" s="47">
        <f t="shared" si="8"/>
        <v>3.9600000000000003E-2</v>
      </c>
      <c r="L16" s="47">
        <f t="shared" si="8"/>
        <v>4.2000000000000003E-2</v>
      </c>
      <c r="M16" s="47">
        <f t="shared" si="8"/>
        <v>4.2000000000000003E-2</v>
      </c>
      <c r="N16" s="1"/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44" t="s">
        <v>36</v>
      </c>
      <c r="C17" s="232"/>
      <c r="D17" s="232"/>
      <c r="E17" s="232"/>
      <c r="F17" s="1"/>
      <c r="G17" s="1"/>
      <c r="H17" s="6"/>
      <c r="I17" s="47">
        <f t="shared" ref="I17:M17" si="9">I15*0.85</f>
        <v>2.9750000000000002E-2</v>
      </c>
      <c r="J17" s="47">
        <f t="shared" si="9"/>
        <v>2.8050000000000002E-2</v>
      </c>
      <c r="K17" s="47">
        <f t="shared" si="9"/>
        <v>2.8050000000000002E-2</v>
      </c>
      <c r="L17" s="47">
        <f t="shared" si="9"/>
        <v>2.9750000000000002E-2</v>
      </c>
      <c r="M17" s="47">
        <f t="shared" si="9"/>
        <v>2.9750000000000002E-2</v>
      </c>
      <c r="N17" s="1"/>
      <c r="O17" s="43" t="s">
        <v>37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31"/>
      <c r="C18" s="232"/>
      <c r="D18" s="232"/>
      <c r="E18" s="232"/>
      <c r="F18" s="1"/>
      <c r="G18" s="1"/>
      <c r="H18" s="6"/>
      <c r="I18" s="1"/>
      <c r="J18" s="1"/>
      <c r="K18" s="1"/>
      <c r="L18" s="1"/>
      <c r="M18" s="1"/>
      <c r="N18" s="1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45" t="s">
        <v>38</v>
      </c>
      <c r="C19" s="234"/>
      <c r="D19" s="234"/>
      <c r="E19" s="234"/>
      <c r="F19" s="48">
        <f t="shared" ref="F19:H19" si="10">F20/F13</f>
        <v>1.4619448016618855</v>
      </c>
      <c r="G19" s="48">
        <f t="shared" si="10"/>
        <v>1.9001419734306864</v>
      </c>
      <c r="H19" s="49">
        <f t="shared" si="10"/>
        <v>2.0765661707126077</v>
      </c>
      <c r="I19" s="48">
        <f t="shared" ref="I19:M19" si="11">H19+$O$19</f>
        <v>2.1765661707126078</v>
      </c>
      <c r="J19" s="48">
        <f t="shared" si="11"/>
        <v>2.2765661707126079</v>
      </c>
      <c r="K19" s="48">
        <f t="shared" si="11"/>
        <v>2.376566170712608</v>
      </c>
      <c r="L19" s="48">
        <f t="shared" si="11"/>
        <v>2.4765661707126081</v>
      </c>
      <c r="M19" s="49">
        <f t="shared" si="11"/>
        <v>2.5765661707126082</v>
      </c>
      <c r="N19" s="1"/>
      <c r="O19" s="50">
        <v>0.1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46" t="s">
        <v>39</v>
      </c>
      <c r="C20" s="236"/>
      <c r="D20" s="236"/>
      <c r="E20" s="236"/>
      <c r="F20" s="51">
        <v>14778.8</v>
      </c>
      <c r="G20" s="51">
        <v>18737.3</v>
      </c>
      <c r="H20" s="52">
        <v>21214.2</v>
      </c>
      <c r="I20" s="53">
        <f t="shared" ref="I20:M20" ca="1" si="12">I19*I13</f>
        <v>23014.053</v>
      </c>
      <c r="J20" s="53">
        <f t="shared" ca="1" si="12"/>
        <v>24865.765496999997</v>
      </c>
      <c r="K20" s="53">
        <f t="shared" ca="1" si="12"/>
        <v>26814.628715084997</v>
      </c>
      <c r="L20" s="53">
        <f t="shared" ca="1" si="12"/>
        <v>28920.923930280911</v>
      </c>
      <c r="M20" s="54">
        <f t="shared" ca="1" si="12"/>
        <v>31141.811890364555</v>
      </c>
      <c r="N20" s="1"/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9"/>
      <c r="C21" s="39"/>
      <c r="D21" s="39"/>
      <c r="E21" s="39"/>
      <c r="F21" s="42"/>
      <c r="G21" s="42"/>
      <c r="H21" s="55"/>
      <c r="I21" s="42"/>
      <c r="J21" s="42"/>
      <c r="K21" s="42"/>
      <c r="L21" s="42"/>
      <c r="M21" s="42"/>
      <c r="N21" s="1"/>
      <c r="O21" s="28"/>
      <c r="P21" s="1"/>
      <c r="Q21" s="56"/>
      <c r="R21" s="56"/>
      <c r="S21" s="56"/>
      <c r="T21" s="56"/>
      <c r="U21" s="56"/>
      <c r="V21" s="1"/>
      <c r="W21" s="1"/>
      <c r="X21" s="1"/>
      <c r="Y21" s="1"/>
      <c r="Z21" s="1"/>
    </row>
    <row r="22" spans="1:26" ht="15.75" customHeight="1">
      <c r="A22" s="1"/>
      <c r="B22" s="251" t="s">
        <v>40</v>
      </c>
      <c r="C22" s="232"/>
      <c r="D22" s="232"/>
      <c r="E22" s="232"/>
      <c r="F22" s="40">
        <v>6528</v>
      </c>
      <c r="G22" s="40">
        <v>7272</v>
      </c>
      <c r="H22" s="41">
        <v>8037</v>
      </c>
      <c r="I22" s="42">
        <f t="shared" ref="I22:M22" ca="1" si="13">H22*(1+I23)</f>
        <v>8864.8109999999997</v>
      </c>
      <c r="J22" s="42">
        <f t="shared" ca="1" si="13"/>
        <v>9804.480966000001</v>
      </c>
      <c r="K22" s="42">
        <f t="shared" ca="1" si="13"/>
        <v>10833.951467430001</v>
      </c>
      <c r="L22" s="42">
        <f t="shared" ca="1" si="13"/>
        <v>11960.682420042722</v>
      </c>
      <c r="M22" s="42">
        <f t="shared" ca="1" si="13"/>
        <v>13204.593391727167</v>
      </c>
      <c r="N22" s="1"/>
      <c r="O22" s="28"/>
      <c r="P22" s="1"/>
      <c r="Q22" s="56"/>
      <c r="R22" s="56"/>
      <c r="S22" s="56"/>
      <c r="T22" s="56"/>
      <c r="U22" s="56"/>
      <c r="V22" s="1"/>
      <c r="W22" s="1"/>
      <c r="X22" s="1"/>
      <c r="Y22" s="1"/>
      <c r="Z22" s="1"/>
    </row>
    <row r="23" spans="1:26" ht="15.75" customHeight="1">
      <c r="A23" s="1"/>
      <c r="B23" s="243" t="s">
        <v>31</v>
      </c>
      <c r="C23" s="232"/>
      <c r="D23" s="232"/>
      <c r="E23" s="232"/>
      <c r="F23" s="42"/>
      <c r="G23" s="44">
        <f t="shared" ref="G23:H23" si="14">G22/F22-1</f>
        <v>0.11397058823529416</v>
      </c>
      <c r="H23" s="45">
        <f t="shared" si="14"/>
        <v>0.10519801980198018</v>
      </c>
      <c r="I23" s="44">
        <f ca="1">OFFSET(I23,Cover!$F$18,0)</f>
        <v>0.10299999999999999</v>
      </c>
      <c r="J23" s="44">
        <f ca="1">OFFSET(J23,Cover!$F$18,0)</f>
        <v>0.106</v>
      </c>
      <c r="K23" s="44">
        <f ca="1">OFFSET(K23,Cover!$F$18,0)</f>
        <v>0.105</v>
      </c>
      <c r="L23" s="44">
        <f ca="1">OFFSET(L23,Cover!$F$18,0)</f>
        <v>0.104</v>
      </c>
      <c r="M23" s="44">
        <f ca="1">OFFSET(M23,Cover!$F$18,0)</f>
        <v>0.104</v>
      </c>
      <c r="N23" s="1"/>
      <c r="O23" s="28"/>
      <c r="P23" s="1"/>
      <c r="Q23" s="56"/>
      <c r="R23" s="56"/>
      <c r="S23" s="56"/>
      <c r="T23" s="56"/>
      <c r="U23" s="56"/>
      <c r="V23" s="1"/>
      <c r="W23" s="1"/>
      <c r="X23" s="1"/>
      <c r="Y23" s="1"/>
      <c r="Z23" s="1"/>
    </row>
    <row r="24" spans="1:26" ht="15.75" customHeight="1">
      <c r="A24" s="1"/>
      <c r="B24" s="244" t="s">
        <v>34</v>
      </c>
      <c r="C24" s="232"/>
      <c r="D24" s="232"/>
      <c r="E24" s="232"/>
      <c r="F24" s="1"/>
      <c r="G24" s="1"/>
      <c r="H24" s="6"/>
      <c r="I24" s="47">
        <v>0.10299999999999999</v>
      </c>
      <c r="J24" s="47">
        <v>0.106</v>
      </c>
      <c r="K24" s="47">
        <v>0.105</v>
      </c>
      <c r="L24" s="47">
        <v>0.104</v>
      </c>
      <c r="M24" s="47">
        <v>0.104</v>
      </c>
      <c r="N24" s="1"/>
      <c r="O24" s="28"/>
      <c r="P24" s="1"/>
      <c r="Q24" s="56"/>
      <c r="R24" s="56"/>
      <c r="S24" s="56"/>
      <c r="T24" s="56"/>
      <c r="U24" s="56"/>
      <c r="V24" s="1"/>
      <c r="W24" s="1"/>
      <c r="X24" s="1"/>
      <c r="Y24" s="1"/>
      <c r="Z24" s="1"/>
    </row>
    <row r="25" spans="1:26" ht="15.75" customHeight="1">
      <c r="A25" s="1"/>
      <c r="B25" s="244" t="s">
        <v>35</v>
      </c>
      <c r="C25" s="232"/>
      <c r="D25" s="232"/>
      <c r="E25" s="232"/>
      <c r="F25" s="1"/>
      <c r="G25" s="1"/>
      <c r="H25" s="6"/>
      <c r="I25" s="47">
        <f t="shared" ref="I25:M25" si="15">I24*1.2</f>
        <v>0.12359999999999999</v>
      </c>
      <c r="J25" s="47">
        <f t="shared" si="15"/>
        <v>0.12719999999999998</v>
      </c>
      <c r="K25" s="47">
        <f t="shared" si="15"/>
        <v>0.126</v>
      </c>
      <c r="L25" s="47">
        <f t="shared" si="15"/>
        <v>0.12479999999999999</v>
      </c>
      <c r="M25" s="47">
        <f t="shared" si="15"/>
        <v>0.12479999999999999</v>
      </c>
      <c r="N25" s="1"/>
      <c r="O25" s="28"/>
      <c r="P25" s="1"/>
      <c r="Q25" s="56"/>
      <c r="R25" s="56"/>
      <c r="S25" s="56"/>
      <c r="T25" s="56"/>
      <c r="U25" s="56"/>
      <c r="V25" s="1"/>
      <c r="W25" s="1"/>
      <c r="X25" s="1"/>
      <c r="Y25" s="1"/>
      <c r="Z25" s="1"/>
    </row>
    <row r="26" spans="1:26" ht="15.75" customHeight="1">
      <c r="A26" s="1"/>
      <c r="B26" s="244" t="s">
        <v>36</v>
      </c>
      <c r="C26" s="232"/>
      <c r="D26" s="232"/>
      <c r="E26" s="232"/>
      <c r="F26" s="1"/>
      <c r="G26" s="1"/>
      <c r="H26" s="6"/>
      <c r="I26" s="47">
        <f t="shared" ref="I26:M26" si="16">I24/1.2</f>
        <v>8.5833333333333331E-2</v>
      </c>
      <c r="J26" s="47">
        <f t="shared" si="16"/>
        <v>8.8333333333333333E-2</v>
      </c>
      <c r="K26" s="47">
        <f t="shared" si="16"/>
        <v>8.7499999999999994E-2</v>
      </c>
      <c r="L26" s="47">
        <f t="shared" si="16"/>
        <v>8.666666666666667E-2</v>
      </c>
      <c r="M26" s="47">
        <f t="shared" si="16"/>
        <v>8.666666666666667E-2</v>
      </c>
      <c r="N26" s="1"/>
      <c r="O26" s="43" t="s">
        <v>37</v>
      </c>
      <c r="P26" s="1"/>
      <c r="Q26" s="56"/>
      <c r="R26" s="56"/>
      <c r="S26" s="56"/>
      <c r="T26" s="56"/>
      <c r="U26" s="56"/>
      <c r="V26" s="1"/>
      <c r="W26" s="1"/>
      <c r="X26" s="1"/>
      <c r="Y26" s="1"/>
      <c r="Z26" s="1"/>
    </row>
    <row r="27" spans="1:26" ht="15.75" customHeight="1">
      <c r="A27" s="1"/>
      <c r="B27" s="231"/>
      <c r="C27" s="232"/>
      <c r="D27" s="232"/>
      <c r="E27" s="232"/>
      <c r="F27" s="1"/>
      <c r="G27" s="1"/>
      <c r="H27" s="6"/>
      <c r="I27" s="1"/>
      <c r="J27" s="1"/>
      <c r="K27" s="1"/>
      <c r="L27" s="1"/>
      <c r="M27" s="1"/>
      <c r="N27" s="1"/>
      <c r="O27" s="28"/>
      <c r="P27" s="1"/>
      <c r="Q27" s="56"/>
      <c r="R27" s="56"/>
      <c r="S27" s="56"/>
      <c r="T27" s="56"/>
      <c r="U27" s="56"/>
      <c r="V27" s="1"/>
      <c r="W27" s="1"/>
      <c r="X27" s="1"/>
      <c r="Y27" s="1"/>
      <c r="Z27" s="1"/>
    </row>
    <row r="28" spans="1:26" ht="15.75" customHeight="1">
      <c r="A28" s="1"/>
      <c r="B28" s="245" t="s">
        <v>38</v>
      </c>
      <c r="C28" s="234"/>
      <c r="D28" s="234"/>
      <c r="E28" s="234"/>
      <c r="F28" s="48">
        <f t="shared" ref="F28:H28" si="17">F29/F22</f>
        <v>0.67184436274509807</v>
      </c>
      <c r="G28" s="48">
        <f t="shared" si="17"/>
        <v>0.80716446644664464</v>
      </c>
      <c r="H28" s="49">
        <f t="shared" si="17"/>
        <v>0.66715192235908916</v>
      </c>
      <c r="I28" s="48">
        <f t="shared" ref="I28:M28" si="18">H28+$O$28</f>
        <v>0.7171519223590892</v>
      </c>
      <c r="J28" s="48">
        <f t="shared" si="18"/>
        <v>0.76715192235908924</v>
      </c>
      <c r="K28" s="48">
        <f t="shared" si="18"/>
        <v>0.81715192235908929</v>
      </c>
      <c r="L28" s="48">
        <f t="shared" si="18"/>
        <v>0.86715192235908933</v>
      </c>
      <c r="M28" s="48">
        <f t="shared" si="18"/>
        <v>0.91715192235908938</v>
      </c>
      <c r="N28" s="1"/>
      <c r="O28" s="50">
        <v>0.05</v>
      </c>
      <c r="P28" s="1"/>
      <c r="Q28" s="56"/>
      <c r="R28" s="56"/>
      <c r="S28" s="56"/>
      <c r="T28" s="56"/>
      <c r="U28" s="56"/>
      <c r="V28" s="1"/>
      <c r="W28" s="1"/>
      <c r="X28" s="1"/>
      <c r="Y28" s="1"/>
      <c r="Z28" s="1"/>
    </row>
    <row r="29" spans="1:26" ht="15.75" customHeight="1">
      <c r="A29" s="1"/>
      <c r="B29" s="246" t="s">
        <v>41</v>
      </c>
      <c r="C29" s="236"/>
      <c r="D29" s="236"/>
      <c r="E29" s="236"/>
      <c r="F29" s="51">
        <v>4385.8</v>
      </c>
      <c r="G29" s="51">
        <v>5869.7</v>
      </c>
      <c r="H29" s="52">
        <v>5361.9</v>
      </c>
      <c r="I29" s="53">
        <f t="shared" ref="I29:M29" ca="1" si="19">I28*I22</f>
        <v>6357.4162499999993</v>
      </c>
      <c r="J29" s="53">
        <f t="shared" ca="1" si="19"/>
        <v>7521.5264208000008</v>
      </c>
      <c r="K29" s="53">
        <f t="shared" ca="1" si="19"/>
        <v>8852.9842683555016</v>
      </c>
      <c r="L29" s="53">
        <f t="shared" ca="1" si="19"/>
        <v>10371.728753266611</v>
      </c>
      <c r="M29" s="54">
        <f t="shared" ca="1" si="19"/>
        <v>12110.6182131927</v>
      </c>
      <c r="N29" s="1"/>
      <c r="O29" s="28"/>
      <c r="P29" s="1"/>
      <c r="Q29" s="56"/>
      <c r="R29" s="56"/>
      <c r="S29" s="56"/>
      <c r="T29" s="56"/>
      <c r="U29" s="56"/>
      <c r="V29" s="1"/>
      <c r="W29" s="1"/>
      <c r="X29" s="1"/>
      <c r="Y29" s="1"/>
      <c r="Z29" s="1"/>
    </row>
    <row r="30" spans="1:26" ht="15.75" customHeight="1">
      <c r="A30" s="1"/>
      <c r="B30" s="250"/>
      <c r="C30" s="234"/>
      <c r="D30" s="234"/>
      <c r="E30" s="234"/>
      <c r="F30" s="1"/>
      <c r="G30" s="1"/>
      <c r="H30" s="6"/>
      <c r="I30" s="1"/>
      <c r="J30" s="1"/>
      <c r="K30" s="1"/>
      <c r="L30" s="1"/>
      <c r="M30" s="1"/>
      <c r="N30" s="1"/>
      <c r="O30" s="2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47" t="s">
        <v>42</v>
      </c>
      <c r="C31" s="248"/>
      <c r="D31" s="248"/>
      <c r="E31" s="249"/>
      <c r="F31" s="29">
        <f t="shared" ref="F31:G31" si="20">G31-1</f>
        <v>2020</v>
      </c>
      <c r="G31" s="29">
        <f t="shared" si="20"/>
        <v>2021</v>
      </c>
      <c r="H31" s="30">
        <v>2022</v>
      </c>
      <c r="I31" s="31">
        <f t="shared" ref="I31:M31" si="21">H31+1</f>
        <v>2023</v>
      </c>
      <c r="J31" s="31">
        <f t="shared" si="21"/>
        <v>2024</v>
      </c>
      <c r="K31" s="31">
        <f t="shared" si="21"/>
        <v>2025</v>
      </c>
      <c r="L31" s="31">
        <f t="shared" si="21"/>
        <v>2026</v>
      </c>
      <c r="M31" s="32">
        <f t="shared" si="21"/>
        <v>2027</v>
      </c>
      <c r="N31" s="1"/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9"/>
      <c r="B32" s="250"/>
      <c r="C32" s="234"/>
      <c r="D32" s="234"/>
      <c r="E32" s="234"/>
      <c r="F32" s="1"/>
      <c r="G32" s="1"/>
      <c r="H32" s="6"/>
      <c r="I32" s="1"/>
      <c r="J32" s="1"/>
      <c r="K32" s="1"/>
      <c r="L32" s="1"/>
      <c r="M32" s="1"/>
      <c r="N32" s="1"/>
      <c r="O32" s="28"/>
      <c r="P32" s="1"/>
      <c r="Q32" s="1"/>
      <c r="R32" s="1"/>
      <c r="S32" s="1"/>
      <c r="T32" s="1"/>
      <c r="U32" s="1"/>
      <c r="V32" s="1"/>
      <c r="W32" s="39"/>
      <c r="X32" s="39"/>
      <c r="Y32" s="39"/>
      <c r="Z32" s="39"/>
    </row>
    <row r="33" spans="1:26" ht="15.75" customHeight="1">
      <c r="A33" s="1"/>
      <c r="B33" s="251" t="s">
        <v>33</v>
      </c>
      <c r="C33" s="232"/>
      <c r="D33" s="232"/>
      <c r="E33" s="232"/>
      <c r="F33" s="40">
        <v>8245</v>
      </c>
      <c r="G33" s="40">
        <v>6965</v>
      </c>
      <c r="H33" s="41">
        <v>7079</v>
      </c>
      <c r="I33" s="42">
        <f t="shared" ref="I33:M33" ca="1" si="22">H33*(1+I34)</f>
        <v>7765.6629999999996</v>
      </c>
      <c r="J33" s="42">
        <f t="shared" ca="1" si="22"/>
        <v>8081.4148575799991</v>
      </c>
      <c r="K33" s="42">
        <f t="shared" ca="1" si="22"/>
        <v>8445.0785261710989</v>
      </c>
      <c r="L33" s="42">
        <f t="shared" ca="1" si="22"/>
        <v>8825.1070598487986</v>
      </c>
      <c r="M33" s="42">
        <f t="shared" ca="1" si="22"/>
        <v>9222.2368775419945</v>
      </c>
      <c r="N33" s="1"/>
      <c r="O33" s="2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43" t="s">
        <v>31</v>
      </c>
      <c r="C34" s="232"/>
      <c r="D34" s="232"/>
      <c r="E34" s="232"/>
      <c r="F34" s="42"/>
      <c r="G34" s="44">
        <f t="shared" ref="G34:H34" si="23">G33/F33-1</f>
        <v>-0.15524560339599758</v>
      </c>
      <c r="H34" s="45">
        <f t="shared" si="23"/>
        <v>1.6367552045944089E-2</v>
      </c>
      <c r="I34" s="44">
        <f ca="1">OFFSET(I34,Cover!$F$18,0)</f>
        <v>9.7000000000000003E-2</v>
      </c>
      <c r="J34" s="44">
        <f ca="1">OFFSET(J34,Cover!$F$18,0)</f>
        <v>4.0660000000000002E-2</v>
      </c>
      <c r="K34" s="44">
        <f ca="1">OFFSET(K34,Cover!$F$18,0)</f>
        <v>4.4999999999999998E-2</v>
      </c>
      <c r="L34" s="44">
        <f ca="1">OFFSET(L34,Cover!$F$18,0)</f>
        <v>4.4999999999999998E-2</v>
      </c>
      <c r="M34" s="44">
        <f ca="1">OFFSET(M34,Cover!$F$18,0)</f>
        <v>4.4999999999999998E-2</v>
      </c>
      <c r="N34" s="1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44" t="s">
        <v>34</v>
      </c>
      <c r="C35" s="232"/>
      <c r="D35" s="232"/>
      <c r="E35" s="232"/>
      <c r="F35" s="1"/>
      <c r="G35" s="1"/>
      <c r="H35" s="6"/>
      <c r="I35" s="47">
        <v>9.7000000000000003E-2</v>
      </c>
      <c r="J35" s="47">
        <v>4.0660000000000002E-2</v>
      </c>
      <c r="K35" s="47">
        <v>4.4999999999999998E-2</v>
      </c>
      <c r="L35" s="47">
        <v>4.4999999999999998E-2</v>
      </c>
      <c r="M35" s="47">
        <v>4.4999999999999998E-2</v>
      </c>
      <c r="N35" s="1"/>
      <c r="O35" s="2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44" t="s">
        <v>35</v>
      </c>
      <c r="C36" s="232"/>
      <c r="D36" s="232"/>
      <c r="E36" s="232"/>
      <c r="F36" s="1"/>
      <c r="G36" s="1"/>
      <c r="H36" s="6"/>
      <c r="I36" s="47">
        <f t="shared" ref="I36:M36" si="24">I35*1.2</f>
        <v>0.1164</v>
      </c>
      <c r="J36" s="47">
        <f t="shared" si="24"/>
        <v>4.8792000000000002E-2</v>
      </c>
      <c r="K36" s="47">
        <f t="shared" si="24"/>
        <v>5.3999999999999999E-2</v>
      </c>
      <c r="L36" s="47">
        <f t="shared" si="24"/>
        <v>5.3999999999999999E-2</v>
      </c>
      <c r="M36" s="47">
        <f t="shared" si="24"/>
        <v>5.3999999999999999E-2</v>
      </c>
      <c r="N36" s="1"/>
      <c r="O36" s="2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44" t="s">
        <v>36</v>
      </c>
      <c r="C37" s="232"/>
      <c r="D37" s="232"/>
      <c r="E37" s="232"/>
      <c r="F37" s="1"/>
      <c r="G37" s="1"/>
      <c r="H37" s="6"/>
      <c r="I37" s="47">
        <f t="shared" ref="I37:M37" si="25">I35/1.2</f>
        <v>8.083333333333334E-2</v>
      </c>
      <c r="J37" s="47">
        <f t="shared" si="25"/>
        <v>3.3883333333333335E-2</v>
      </c>
      <c r="K37" s="47">
        <f t="shared" si="25"/>
        <v>3.7499999999999999E-2</v>
      </c>
      <c r="L37" s="47">
        <f t="shared" si="25"/>
        <v>3.7499999999999999E-2</v>
      </c>
      <c r="M37" s="47">
        <f t="shared" si="25"/>
        <v>3.7499999999999999E-2</v>
      </c>
      <c r="N37" s="1"/>
      <c r="O37" s="43" t="s">
        <v>37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31"/>
      <c r="C38" s="232"/>
      <c r="D38" s="232"/>
      <c r="E38" s="232"/>
      <c r="F38" s="1"/>
      <c r="G38" s="1"/>
      <c r="H38" s="6"/>
      <c r="I38" s="1"/>
      <c r="J38" s="1"/>
      <c r="K38" s="1"/>
      <c r="L38" s="1"/>
      <c r="M38" s="1"/>
      <c r="N38" s="1"/>
      <c r="O38" s="2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45" t="s">
        <v>38</v>
      </c>
      <c r="C39" s="234"/>
      <c r="D39" s="234"/>
      <c r="E39" s="234"/>
      <c r="F39" s="48">
        <f t="shared" ref="F39:H39" si="26">F40/F33</f>
        <v>0.1831291691934506</v>
      </c>
      <c r="G39" s="48">
        <f t="shared" si="26"/>
        <v>0.24439339554917444</v>
      </c>
      <c r="H39" s="49">
        <f t="shared" si="26"/>
        <v>0.3037858454583981</v>
      </c>
      <c r="I39" s="48">
        <f t="shared" ref="I39:M39" si="27">H39+$O$39</f>
        <v>0.32878584545839812</v>
      </c>
      <c r="J39" s="48">
        <f t="shared" si="27"/>
        <v>0.35378584545839814</v>
      </c>
      <c r="K39" s="48">
        <f t="shared" si="27"/>
        <v>0.37878584545839816</v>
      </c>
      <c r="L39" s="48">
        <f t="shared" si="27"/>
        <v>0.40378584545839818</v>
      </c>
      <c r="M39" s="48">
        <f t="shared" si="27"/>
        <v>0.42878584545839821</v>
      </c>
      <c r="N39" s="1"/>
      <c r="O39" s="50">
        <v>2.5000000000000001E-2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46" t="s">
        <v>43</v>
      </c>
      <c r="C40" s="236"/>
      <c r="D40" s="236"/>
      <c r="E40" s="236"/>
      <c r="F40" s="51">
        <v>1509.9</v>
      </c>
      <c r="G40" s="51">
        <v>1702.2</v>
      </c>
      <c r="H40" s="52">
        <v>2150.5</v>
      </c>
      <c r="I40" s="53">
        <f t="shared" ref="I40:M40" ca="1" si="28">I39*I33</f>
        <v>2553.2400750000002</v>
      </c>
      <c r="J40" s="53">
        <f t="shared" ca="1" si="28"/>
        <v>2859.0901878890004</v>
      </c>
      <c r="K40" s="53">
        <f t="shared" ca="1" si="28"/>
        <v>3198.8762094982826</v>
      </c>
      <c r="L40" s="53">
        <f t="shared" ca="1" si="28"/>
        <v>3563.4533154219257</v>
      </c>
      <c r="M40" s="54">
        <f t="shared" ca="1" si="28"/>
        <v>3954.3646365544623</v>
      </c>
      <c r="N40" s="1"/>
      <c r="O40" s="2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9"/>
      <c r="B41" s="231"/>
      <c r="C41" s="232"/>
      <c r="D41" s="232"/>
      <c r="E41" s="232"/>
      <c r="F41" s="1"/>
      <c r="G41" s="1"/>
      <c r="H41" s="6"/>
      <c r="I41" s="1"/>
      <c r="J41" s="1"/>
      <c r="K41" s="1"/>
      <c r="L41" s="1"/>
      <c r="M41" s="1"/>
      <c r="N41" s="1"/>
      <c r="O41" s="28"/>
      <c r="P41" s="1"/>
      <c r="Q41" s="1"/>
      <c r="R41" s="1"/>
      <c r="S41" s="1"/>
      <c r="T41" s="1"/>
      <c r="U41" s="1"/>
      <c r="V41" s="1"/>
      <c r="W41" s="39"/>
      <c r="X41" s="39"/>
      <c r="Y41" s="39"/>
      <c r="Z41" s="39"/>
    </row>
    <row r="42" spans="1:26" ht="15.75" customHeight="1">
      <c r="A42" s="1"/>
      <c r="B42" s="251" t="s">
        <v>40</v>
      </c>
      <c r="C42" s="232"/>
      <c r="D42" s="232"/>
      <c r="E42" s="232"/>
      <c r="F42" s="40">
        <v>7778</v>
      </c>
      <c r="G42" s="40">
        <v>9735</v>
      </c>
      <c r="H42" s="41">
        <v>10379</v>
      </c>
      <c r="I42" s="42">
        <f t="shared" ref="I42:M42" ca="1" si="29">H42*(1+I43)</f>
        <v>11356.390430000001</v>
      </c>
      <c r="J42" s="42">
        <f t="shared" ca="1" si="29"/>
        <v>12378.377783801978</v>
      </c>
      <c r="K42" s="42">
        <f t="shared" ca="1" si="29"/>
        <v>13442.918273208948</v>
      </c>
      <c r="L42" s="42">
        <f t="shared" ca="1" si="29"/>
        <v>14599.009244704919</v>
      </c>
      <c r="M42" s="42">
        <f t="shared" ca="1" si="29"/>
        <v>15854.524039749544</v>
      </c>
      <c r="N42" s="1"/>
      <c r="O42" s="2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43" t="s">
        <v>31</v>
      </c>
      <c r="C43" s="232"/>
      <c r="D43" s="232"/>
      <c r="E43" s="232"/>
      <c r="F43" s="42"/>
      <c r="G43" s="44">
        <f t="shared" ref="G43:H43" si="30">G42/F42-1</f>
        <v>0.25160709694008743</v>
      </c>
      <c r="H43" s="45">
        <f t="shared" si="30"/>
        <v>6.6153055983564357E-2</v>
      </c>
      <c r="I43" s="44">
        <f ca="1">OFFSET(I43,Cover!$F$18,0)</f>
        <v>9.4170000000000004E-2</v>
      </c>
      <c r="J43" s="44">
        <f ca="1">OFFSET(J43,Cover!$F$18,0)</f>
        <v>8.9992269999999999E-2</v>
      </c>
      <c r="K43" s="44">
        <f ca="1">OFFSET(K43,Cover!$F$18,0)</f>
        <v>8.5999999999999993E-2</v>
      </c>
      <c r="L43" s="44">
        <f ca="1">OFFSET(L43,Cover!$F$18,0)</f>
        <v>8.5999999999999993E-2</v>
      </c>
      <c r="M43" s="44">
        <f ca="1">OFFSET(M43,Cover!$F$18,0)</f>
        <v>8.5999999999999993E-2</v>
      </c>
      <c r="N43" s="1"/>
      <c r="O43" s="2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44" t="s">
        <v>34</v>
      </c>
      <c r="C44" s="232"/>
      <c r="D44" s="232"/>
      <c r="E44" s="232"/>
      <c r="F44" s="1"/>
      <c r="G44" s="1"/>
      <c r="H44" s="6"/>
      <c r="I44" s="47">
        <v>9.4170000000000004E-2</v>
      </c>
      <c r="J44" s="47">
        <v>8.9992269999999999E-2</v>
      </c>
      <c r="K44" s="47">
        <v>8.5999999999999993E-2</v>
      </c>
      <c r="L44" s="47">
        <v>8.5999999999999993E-2</v>
      </c>
      <c r="M44" s="47">
        <v>8.5999999999999993E-2</v>
      </c>
      <c r="N44" s="1"/>
      <c r="O44" s="2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44" t="s">
        <v>35</v>
      </c>
      <c r="C45" s="232"/>
      <c r="D45" s="232"/>
      <c r="E45" s="232"/>
      <c r="F45" s="1"/>
      <c r="G45" s="1"/>
      <c r="H45" s="6"/>
      <c r="I45" s="47">
        <f t="shared" ref="I45:M45" si="31">I44*1.2</f>
        <v>0.11300399999999999</v>
      </c>
      <c r="J45" s="47">
        <f t="shared" si="31"/>
        <v>0.107990724</v>
      </c>
      <c r="K45" s="47">
        <f t="shared" si="31"/>
        <v>0.10319999999999999</v>
      </c>
      <c r="L45" s="47">
        <f t="shared" si="31"/>
        <v>0.10319999999999999</v>
      </c>
      <c r="M45" s="47">
        <f t="shared" si="31"/>
        <v>0.10319999999999999</v>
      </c>
      <c r="N45" s="1"/>
      <c r="O45" s="2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44" t="s">
        <v>36</v>
      </c>
      <c r="C46" s="232"/>
      <c r="D46" s="232"/>
      <c r="E46" s="232"/>
      <c r="F46" s="1"/>
      <c r="G46" s="1"/>
      <c r="H46" s="6"/>
      <c r="I46" s="47">
        <f t="shared" ref="I46:M46" si="32">I44/1.2</f>
        <v>7.8475000000000003E-2</v>
      </c>
      <c r="J46" s="47">
        <f t="shared" si="32"/>
        <v>7.4993558333333335E-2</v>
      </c>
      <c r="K46" s="47">
        <f t="shared" si="32"/>
        <v>7.166666666666667E-2</v>
      </c>
      <c r="L46" s="47">
        <f t="shared" si="32"/>
        <v>7.166666666666667E-2</v>
      </c>
      <c r="M46" s="47">
        <f t="shared" si="32"/>
        <v>7.166666666666667E-2</v>
      </c>
      <c r="N46" s="1"/>
      <c r="O46" s="43" t="s">
        <v>37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9"/>
      <c r="B47" s="231"/>
      <c r="C47" s="232"/>
      <c r="D47" s="232"/>
      <c r="E47" s="232"/>
      <c r="F47" s="1"/>
      <c r="G47" s="1"/>
      <c r="H47" s="6"/>
      <c r="I47" s="1"/>
      <c r="J47" s="1"/>
      <c r="K47" s="1"/>
      <c r="L47" s="1"/>
      <c r="M47" s="1"/>
      <c r="N47" s="1"/>
      <c r="O47" s="28"/>
      <c r="P47" s="1"/>
      <c r="Q47" s="1"/>
      <c r="R47" s="1"/>
      <c r="S47" s="1"/>
      <c r="T47" s="1"/>
      <c r="U47" s="1"/>
      <c r="V47" s="1"/>
      <c r="W47" s="39"/>
      <c r="X47" s="39"/>
      <c r="Y47" s="39"/>
      <c r="Z47" s="39"/>
    </row>
    <row r="48" spans="1:26" ht="15.75" customHeight="1">
      <c r="A48" s="1"/>
      <c r="B48" s="245" t="s">
        <v>38</v>
      </c>
      <c r="C48" s="234"/>
      <c r="D48" s="234"/>
      <c r="E48" s="234"/>
      <c r="F48" s="48">
        <f t="shared" ref="F48:H48" si="33">F49/F42</f>
        <v>0.10506556955515557</v>
      </c>
      <c r="G48" s="48">
        <f t="shared" si="33"/>
        <v>0.10081150487930149</v>
      </c>
      <c r="H48" s="49">
        <f t="shared" si="33"/>
        <v>0.14500433567781096</v>
      </c>
      <c r="I48" s="48">
        <f t="shared" ref="I48:M48" si="34">H48+$O$48</f>
        <v>0.17500433567781096</v>
      </c>
      <c r="J48" s="48">
        <f t="shared" si="34"/>
        <v>0.20500433567781096</v>
      </c>
      <c r="K48" s="48">
        <f t="shared" si="34"/>
        <v>0.23500433567781095</v>
      </c>
      <c r="L48" s="48">
        <f t="shared" si="34"/>
        <v>0.26500433567781095</v>
      </c>
      <c r="M48" s="49">
        <f t="shared" si="34"/>
        <v>0.29500433567781092</v>
      </c>
      <c r="N48" s="1"/>
      <c r="O48" s="50">
        <v>0.03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46" t="s">
        <v>44</v>
      </c>
      <c r="C49" s="236"/>
      <c r="D49" s="236"/>
      <c r="E49" s="236"/>
      <c r="F49" s="51">
        <v>817.2</v>
      </c>
      <c r="G49" s="51">
        <v>981.4</v>
      </c>
      <c r="H49" s="52">
        <v>1505</v>
      </c>
      <c r="I49" s="53">
        <f t="shared" ref="I49:M49" ca="1" si="35">I48*I42</f>
        <v>1987.4175629000001</v>
      </c>
      <c r="J49" s="53">
        <f t="shared" ca="1" si="35"/>
        <v>2537.6211143372984</v>
      </c>
      <c r="K49" s="53">
        <f t="shared" ca="1" si="35"/>
        <v>3159.1440783665744</v>
      </c>
      <c r="L49" s="53">
        <f t="shared" ca="1" si="35"/>
        <v>3868.8007464472475</v>
      </c>
      <c r="M49" s="54">
        <f t="shared" ca="1" si="35"/>
        <v>4677.1533318341972</v>
      </c>
      <c r="N49" s="1"/>
      <c r="O49" s="2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6"/>
      <c r="I50" s="1"/>
      <c r="J50" s="1"/>
      <c r="K50" s="1"/>
      <c r="L50" s="1"/>
      <c r="M50" s="1"/>
      <c r="N50" s="1"/>
      <c r="O50" s="2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47" t="s">
        <v>45</v>
      </c>
      <c r="C51" s="248"/>
      <c r="D51" s="248"/>
      <c r="E51" s="249"/>
      <c r="F51" s="29">
        <f t="shared" ref="F51:G51" si="36">G51-1</f>
        <v>2020</v>
      </c>
      <c r="G51" s="29">
        <f t="shared" si="36"/>
        <v>2021</v>
      </c>
      <c r="H51" s="30">
        <v>2022</v>
      </c>
      <c r="I51" s="31">
        <f t="shared" ref="I51:M51" si="37">H51+1</f>
        <v>2023</v>
      </c>
      <c r="J51" s="31">
        <f t="shared" si="37"/>
        <v>2024</v>
      </c>
      <c r="K51" s="31">
        <f t="shared" si="37"/>
        <v>2025</v>
      </c>
      <c r="L51" s="31">
        <f t="shared" si="37"/>
        <v>2026</v>
      </c>
      <c r="M51" s="32">
        <f t="shared" si="37"/>
        <v>2027</v>
      </c>
      <c r="N51" s="1"/>
      <c r="O51" s="2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9"/>
      <c r="B52" s="250"/>
      <c r="C52" s="234"/>
      <c r="D52" s="234"/>
      <c r="E52" s="234"/>
      <c r="F52" s="1"/>
      <c r="G52" s="1"/>
      <c r="H52" s="6"/>
      <c r="I52" s="1"/>
      <c r="J52" s="1"/>
      <c r="K52" s="1"/>
      <c r="L52" s="1"/>
      <c r="M52" s="1"/>
      <c r="N52" s="1"/>
      <c r="O52" s="28"/>
      <c r="P52" s="1"/>
      <c r="Q52" s="1"/>
      <c r="R52" s="1"/>
      <c r="S52" s="1"/>
      <c r="T52" s="1"/>
      <c r="U52" s="1"/>
      <c r="V52" s="1"/>
      <c r="W52" s="39"/>
      <c r="X52" s="39"/>
      <c r="Y52" s="39"/>
      <c r="Z52" s="39"/>
    </row>
    <row r="53" spans="1:26" ht="15.75" customHeight="1">
      <c r="A53" s="10"/>
      <c r="B53" s="251" t="s">
        <v>45</v>
      </c>
      <c r="C53" s="232"/>
      <c r="D53" s="232"/>
      <c r="E53" s="232"/>
      <c r="F53" s="40">
        <f>23517.5-SUM(F49,F40,F29,F20)</f>
        <v>2025.7999999999993</v>
      </c>
      <c r="G53" s="40">
        <f>29060.6-SUM(G49,G40,G29,G20)</f>
        <v>1770</v>
      </c>
      <c r="H53" s="41">
        <f>32250.3-SUM(H49,H40,H29,H20)</f>
        <v>2018.7000000000007</v>
      </c>
      <c r="I53" s="42">
        <f t="shared" ref="I53:M53" ca="1" si="38">H53*(1+I54)</f>
        <v>2170.1025000000009</v>
      </c>
      <c r="J53" s="42">
        <f t="shared" ca="1" si="38"/>
        <v>2332.8601875000008</v>
      </c>
      <c r="K53" s="42">
        <f t="shared" ca="1" si="38"/>
        <v>2507.8247015625006</v>
      </c>
      <c r="L53" s="42">
        <f t="shared" ca="1" si="38"/>
        <v>2695.9115541796882</v>
      </c>
      <c r="M53" s="42">
        <f t="shared" ca="1" si="38"/>
        <v>2898.1049207431647</v>
      </c>
      <c r="N53" s="1"/>
      <c r="O53" s="28"/>
      <c r="P53" s="1"/>
      <c r="Q53" s="1"/>
      <c r="R53" s="1"/>
      <c r="S53" s="1"/>
      <c r="T53" s="1"/>
      <c r="U53" s="1"/>
      <c r="V53" s="1"/>
      <c r="W53" s="10"/>
      <c r="X53" s="10"/>
      <c r="Y53" s="10"/>
      <c r="Z53" s="10"/>
    </row>
    <row r="54" spans="1:26" ht="15.75" customHeight="1">
      <c r="A54" s="1"/>
      <c r="B54" s="243" t="s">
        <v>31</v>
      </c>
      <c r="C54" s="232"/>
      <c r="D54" s="232"/>
      <c r="E54" s="232"/>
      <c r="F54" s="42"/>
      <c r="G54" s="44">
        <f t="shared" ref="G54:H54" si="39">G53/F53-1</f>
        <v>-0.12627110277421238</v>
      </c>
      <c r="H54" s="45">
        <f t="shared" si="39"/>
        <v>0.14050847457627169</v>
      </c>
      <c r="I54" s="44">
        <f ca="1">OFFSET(I54,Cover!$F$18,0)</f>
        <v>7.4999999999999997E-2</v>
      </c>
      <c r="J54" s="44">
        <f ca="1">OFFSET(J54,Cover!$F$18,0)</f>
        <v>7.4999999999999997E-2</v>
      </c>
      <c r="K54" s="44">
        <f ca="1">OFFSET(K54,Cover!$F$18,0)</f>
        <v>7.4999999999999997E-2</v>
      </c>
      <c r="L54" s="44">
        <f ca="1">OFFSET(L54,Cover!$F$18,0)</f>
        <v>7.4999999999999997E-2</v>
      </c>
      <c r="M54" s="44">
        <f ca="1">OFFSET(M54,Cover!$F$18,0)</f>
        <v>7.4999999999999997E-2</v>
      </c>
      <c r="N54" s="1"/>
      <c r="O54" s="2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44" t="s">
        <v>34</v>
      </c>
      <c r="C55" s="232"/>
      <c r="D55" s="232"/>
      <c r="E55" s="232"/>
      <c r="F55" s="1"/>
      <c r="G55" s="1"/>
      <c r="H55" s="6"/>
      <c r="I55" s="47">
        <v>7.4999999999999997E-2</v>
      </c>
      <c r="J55" s="47">
        <v>7.4999999999999997E-2</v>
      </c>
      <c r="K55" s="47">
        <v>7.4999999999999997E-2</v>
      </c>
      <c r="L55" s="47">
        <v>7.4999999999999997E-2</v>
      </c>
      <c r="M55" s="47">
        <v>7.4999999999999997E-2</v>
      </c>
      <c r="N55" s="1"/>
      <c r="O55" s="2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44" t="s">
        <v>35</v>
      </c>
      <c r="C56" s="232"/>
      <c r="D56" s="232"/>
      <c r="E56" s="232"/>
      <c r="F56" s="1"/>
      <c r="G56" s="1"/>
      <c r="H56" s="6"/>
      <c r="I56" s="47">
        <f t="shared" ref="I56:M56" si="40">I55*1.2</f>
        <v>0.09</v>
      </c>
      <c r="J56" s="47">
        <f t="shared" si="40"/>
        <v>0.09</v>
      </c>
      <c r="K56" s="47">
        <f t="shared" si="40"/>
        <v>0.09</v>
      </c>
      <c r="L56" s="47">
        <f t="shared" si="40"/>
        <v>0.09</v>
      </c>
      <c r="M56" s="47">
        <f t="shared" si="40"/>
        <v>0.09</v>
      </c>
      <c r="N56" s="1"/>
      <c r="O56" s="2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9"/>
      <c r="B57" s="244" t="s">
        <v>36</v>
      </c>
      <c r="C57" s="232"/>
      <c r="D57" s="232"/>
      <c r="E57" s="232"/>
      <c r="F57" s="1"/>
      <c r="G57" s="1"/>
      <c r="H57" s="6"/>
      <c r="I57" s="47">
        <f t="shared" ref="I57:M57" si="41">I55/1.2</f>
        <v>6.25E-2</v>
      </c>
      <c r="J57" s="47">
        <f t="shared" si="41"/>
        <v>6.25E-2</v>
      </c>
      <c r="K57" s="47">
        <f t="shared" si="41"/>
        <v>6.25E-2</v>
      </c>
      <c r="L57" s="47">
        <f t="shared" si="41"/>
        <v>6.25E-2</v>
      </c>
      <c r="M57" s="47">
        <f t="shared" si="41"/>
        <v>6.25E-2</v>
      </c>
      <c r="N57" s="1"/>
      <c r="O57" s="28"/>
      <c r="P57" s="1"/>
      <c r="Q57" s="1"/>
      <c r="R57" s="1"/>
      <c r="S57" s="1"/>
      <c r="T57" s="1"/>
      <c r="U57" s="1"/>
      <c r="V57" s="1"/>
      <c r="W57" s="39"/>
      <c r="X57" s="39"/>
      <c r="Y57" s="39"/>
      <c r="Z57" s="39"/>
    </row>
    <row r="58" spans="1:26" ht="15.75" customHeight="1">
      <c r="A58" s="1"/>
      <c r="B58" s="1"/>
      <c r="C58" s="1"/>
      <c r="D58" s="1"/>
      <c r="E58" s="1"/>
      <c r="F58" s="1"/>
      <c r="G58" s="1"/>
      <c r="H58" s="6"/>
      <c r="I58" s="1"/>
      <c r="J58" s="1"/>
      <c r="K58" s="1"/>
      <c r="L58" s="1"/>
      <c r="M58" s="1"/>
      <c r="N58" s="1"/>
      <c r="O58" s="2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6"/>
      <c r="I59" s="1"/>
      <c r="J59" s="1"/>
      <c r="K59" s="1"/>
      <c r="L59" s="1"/>
      <c r="M59" s="1"/>
      <c r="N59" s="1"/>
      <c r="O59" s="2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6"/>
      <c r="I60" s="1"/>
      <c r="J60" s="1"/>
      <c r="K60" s="1"/>
      <c r="L60" s="1"/>
      <c r="M60" s="1"/>
      <c r="N60" s="1"/>
      <c r="O60" s="2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6"/>
      <c r="I61" s="1"/>
      <c r="J61" s="1"/>
      <c r="K61" s="1"/>
      <c r="L61" s="1"/>
      <c r="M61" s="1"/>
      <c r="N61" s="1"/>
      <c r="O61" s="2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6"/>
      <c r="I62" s="1"/>
      <c r="J62" s="1"/>
      <c r="K62" s="1"/>
      <c r="L62" s="1"/>
      <c r="M62" s="1"/>
      <c r="N62" s="1"/>
      <c r="O62" s="2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6"/>
      <c r="I63" s="1"/>
      <c r="J63" s="1"/>
      <c r="K63" s="1"/>
      <c r="L63" s="1"/>
      <c r="M63" s="1"/>
      <c r="N63" s="1"/>
      <c r="O63" s="2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6"/>
      <c r="I64" s="1"/>
      <c r="J64" s="1"/>
      <c r="K64" s="1"/>
      <c r="L64" s="1"/>
      <c r="M64" s="1"/>
      <c r="N64" s="1"/>
      <c r="O64" s="2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6"/>
      <c r="I65" s="1"/>
      <c r="J65" s="1"/>
      <c r="K65" s="1"/>
      <c r="L65" s="1"/>
      <c r="M65" s="1"/>
      <c r="N65" s="1"/>
      <c r="O65" s="2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6"/>
      <c r="I66" s="1"/>
      <c r="J66" s="1"/>
      <c r="K66" s="1"/>
      <c r="L66" s="1"/>
      <c r="M66" s="1"/>
      <c r="N66" s="1"/>
      <c r="O66" s="2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6"/>
      <c r="I67" s="1"/>
      <c r="J67" s="1"/>
      <c r="K67" s="1"/>
      <c r="L67" s="1"/>
      <c r="M67" s="1"/>
      <c r="N67" s="1"/>
      <c r="O67" s="2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6"/>
      <c r="I68" s="1"/>
      <c r="J68" s="1"/>
      <c r="K68" s="1"/>
      <c r="L68" s="1"/>
      <c r="M68" s="1"/>
      <c r="N68" s="1"/>
      <c r="O68" s="2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6"/>
      <c r="I69" s="1"/>
      <c r="J69" s="1"/>
      <c r="K69" s="1"/>
      <c r="L69" s="1"/>
      <c r="M69" s="1"/>
      <c r="N69" s="1"/>
      <c r="O69" s="2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6"/>
      <c r="I70" s="1"/>
      <c r="J70" s="1"/>
      <c r="K70" s="1"/>
      <c r="L70" s="1"/>
      <c r="M70" s="1"/>
      <c r="N70" s="1"/>
      <c r="O70" s="2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6"/>
      <c r="I71" s="1"/>
      <c r="J71" s="1"/>
      <c r="K71" s="1"/>
      <c r="L71" s="1"/>
      <c r="M71" s="1"/>
      <c r="N71" s="1"/>
      <c r="O71" s="2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6"/>
      <c r="I72" s="1"/>
      <c r="J72" s="1"/>
      <c r="K72" s="1"/>
      <c r="L72" s="1"/>
      <c r="M72" s="1"/>
      <c r="N72" s="1"/>
      <c r="O72" s="2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6"/>
      <c r="I73" s="1"/>
      <c r="J73" s="1"/>
      <c r="K73" s="1"/>
      <c r="L73" s="1"/>
      <c r="M73" s="1"/>
      <c r="N73" s="1"/>
      <c r="O73" s="2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6"/>
      <c r="I74" s="1"/>
      <c r="J74" s="1"/>
      <c r="K74" s="1"/>
      <c r="L74" s="1"/>
      <c r="M74" s="1"/>
      <c r="N74" s="1"/>
      <c r="O74" s="2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6"/>
      <c r="I75" s="1"/>
      <c r="J75" s="1"/>
      <c r="K75" s="1"/>
      <c r="L75" s="1"/>
      <c r="M75" s="1"/>
      <c r="N75" s="1"/>
      <c r="O75" s="2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6"/>
      <c r="I76" s="1"/>
      <c r="J76" s="1"/>
      <c r="K76" s="1"/>
      <c r="L76" s="1"/>
      <c r="M76" s="1"/>
      <c r="N76" s="1"/>
      <c r="O76" s="2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6"/>
      <c r="I77" s="1"/>
      <c r="J77" s="1"/>
      <c r="K77" s="1"/>
      <c r="L77" s="1"/>
      <c r="M77" s="1"/>
      <c r="N77" s="1"/>
      <c r="O77" s="2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6"/>
      <c r="I78" s="1"/>
      <c r="J78" s="1"/>
      <c r="K78" s="1"/>
      <c r="L78" s="1"/>
      <c r="M78" s="1"/>
      <c r="N78" s="1"/>
      <c r="O78" s="2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6"/>
      <c r="I79" s="1"/>
      <c r="J79" s="1"/>
      <c r="K79" s="1"/>
      <c r="L79" s="1"/>
      <c r="M79" s="1"/>
      <c r="N79" s="1"/>
      <c r="O79" s="2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6"/>
      <c r="I80" s="1"/>
      <c r="J80" s="1"/>
      <c r="K80" s="1"/>
      <c r="L80" s="1"/>
      <c r="M80" s="1"/>
      <c r="N80" s="1"/>
      <c r="O80" s="2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6"/>
      <c r="I81" s="1"/>
      <c r="J81" s="1"/>
      <c r="K81" s="1"/>
      <c r="L81" s="1"/>
      <c r="M81" s="1"/>
      <c r="N81" s="1"/>
      <c r="O81" s="2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6"/>
      <c r="I82" s="1"/>
      <c r="J82" s="1"/>
      <c r="K82" s="1"/>
      <c r="L82" s="1"/>
      <c r="M82" s="1"/>
      <c r="N82" s="1"/>
      <c r="O82" s="2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6"/>
      <c r="I83" s="1"/>
      <c r="J83" s="1"/>
      <c r="K83" s="1"/>
      <c r="L83" s="1"/>
      <c r="M83" s="1"/>
      <c r="N83" s="1"/>
      <c r="O83" s="2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6"/>
      <c r="I84" s="1"/>
      <c r="J84" s="1"/>
      <c r="K84" s="1"/>
      <c r="L84" s="1"/>
      <c r="M84" s="1"/>
      <c r="N84" s="1"/>
      <c r="O84" s="2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6"/>
      <c r="I85" s="1"/>
      <c r="J85" s="1"/>
      <c r="K85" s="1"/>
      <c r="L85" s="1"/>
      <c r="M85" s="1"/>
      <c r="N85" s="1"/>
      <c r="O85" s="2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6"/>
      <c r="I86" s="1"/>
      <c r="J86" s="1"/>
      <c r="K86" s="1"/>
      <c r="L86" s="1"/>
      <c r="M86" s="1"/>
      <c r="N86" s="1"/>
      <c r="O86" s="2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6"/>
      <c r="I87" s="1"/>
      <c r="J87" s="1"/>
      <c r="K87" s="1"/>
      <c r="L87" s="1"/>
      <c r="M87" s="1"/>
      <c r="N87" s="1"/>
      <c r="O87" s="2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0"/>
      <c r="B88" s="1"/>
      <c r="C88" s="1"/>
      <c r="D88" s="1"/>
      <c r="E88" s="1"/>
      <c r="F88" s="1"/>
      <c r="G88" s="1"/>
      <c r="H88" s="6"/>
      <c r="I88" s="1"/>
      <c r="J88" s="1"/>
      <c r="K88" s="1"/>
      <c r="L88" s="1"/>
      <c r="M88" s="1"/>
      <c r="N88" s="1"/>
      <c r="O88" s="28"/>
      <c r="P88" s="1"/>
      <c r="Q88" s="1"/>
      <c r="R88" s="1"/>
      <c r="S88" s="1"/>
      <c r="T88" s="1"/>
      <c r="U88" s="1"/>
      <c r="V88" s="1"/>
      <c r="W88" s="10"/>
      <c r="X88" s="10"/>
      <c r="Y88" s="10"/>
      <c r="Z88" s="10"/>
    </row>
    <row r="89" spans="1:26" ht="15.75" customHeight="1">
      <c r="A89" s="1"/>
      <c r="B89" s="1"/>
      <c r="C89" s="1"/>
      <c r="D89" s="1"/>
      <c r="E89" s="1"/>
      <c r="F89" s="1"/>
      <c r="G89" s="1"/>
      <c r="H89" s="6"/>
      <c r="I89" s="1"/>
      <c r="J89" s="1"/>
      <c r="K89" s="1"/>
      <c r="L89" s="1"/>
      <c r="M89" s="1"/>
      <c r="N89" s="1"/>
      <c r="O89" s="2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6"/>
      <c r="I90" s="1"/>
      <c r="J90" s="1"/>
      <c r="K90" s="1"/>
      <c r="L90" s="1"/>
      <c r="M90" s="1"/>
      <c r="N90" s="1"/>
      <c r="O90" s="2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6"/>
      <c r="I91" s="1"/>
      <c r="J91" s="1"/>
      <c r="K91" s="1"/>
      <c r="L91" s="1"/>
      <c r="M91" s="1"/>
      <c r="N91" s="1"/>
      <c r="O91" s="2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9"/>
      <c r="B92" s="1"/>
      <c r="C92" s="1"/>
      <c r="D92" s="1"/>
      <c r="E92" s="1"/>
      <c r="F92" s="1"/>
      <c r="G92" s="1"/>
      <c r="H92" s="6"/>
      <c r="I92" s="1"/>
      <c r="J92" s="1"/>
      <c r="K92" s="1"/>
      <c r="L92" s="1"/>
      <c r="M92" s="1"/>
      <c r="N92" s="1"/>
      <c r="O92" s="28"/>
      <c r="P92" s="1"/>
      <c r="Q92" s="1"/>
      <c r="R92" s="1"/>
      <c r="S92" s="1"/>
      <c r="T92" s="1"/>
      <c r="U92" s="1"/>
      <c r="V92" s="1"/>
      <c r="W92" s="39"/>
      <c r="X92" s="39"/>
      <c r="Y92" s="39"/>
      <c r="Z92" s="39"/>
    </row>
    <row r="93" spans="1:26" ht="15.75" customHeight="1">
      <c r="A93" s="1"/>
      <c r="B93" s="1"/>
      <c r="C93" s="1"/>
      <c r="D93" s="1"/>
      <c r="E93" s="1"/>
      <c r="F93" s="1"/>
      <c r="G93" s="1"/>
      <c r="H93" s="6"/>
      <c r="I93" s="1"/>
      <c r="J93" s="1"/>
      <c r="K93" s="1"/>
      <c r="L93" s="1"/>
      <c r="M93" s="1"/>
      <c r="N93" s="1"/>
      <c r="O93" s="2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6"/>
      <c r="I94" s="1"/>
      <c r="J94" s="1"/>
      <c r="K94" s="1"/>
      <c r="L94" s="1"/>
      <c r="M94" s="1"/>
      <c r="N94" s="1"/>
      <c r="O94" s="2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6"/>
      <c r="I95" s="1"/>
      <c r="J95" s="1"/>
      <c r="K95" s="1"/>
      <c r="L95" s="1"/>
      <c r="M95" s="1"/>
      <c r="N95" s="1"/>
      <c r="O95" s="2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6"/>
      <c r="I96" s="1"/>
      <c r="J96" s="1"/>
      <c r="K96" s="1"/>
      <c r="L96" s="1"/>
      <c r="M96" s="1"/>
      <c r="N96" s="1"/>
      <c r="O96" s="2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6"/>
      <c r="I97" s="1"/>
      <c r="J97" s="1"/>
      <c r="K97" s="1"/>
      <c r="L97" s="1"/>
      <c r="M97" s="1"/>
      <c r="N97" s="1"/>
      <c r="O97" s="2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6"/>
      <c r="I98" s="1"/>
      <c r="J98" s="1"/>
      <c r="K98" s="1"/>
      <c r="L98" s="1"/>
      <c r="M98" s="1"/>
      <c r="N98" s="1"/>
      <c r="O98" s="28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6"/>
      <c r="I99" s="1"/>
      <c r="J99" s="1"/>
      <c r="K99" s="1"/>
      <c r="L99" s="1"/>
      <c r="M99" s="1"/>
      <c r="N99" s="1"/>
      <c r="O99" s="2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6"/>
      <c r="I100" s="1"/>
      <c r="J100" s="1"/>
      <c r="K100" s="1"/>
      <c r="L100" s="1"/>
      <c r="M100" s="1"/>
      <c r="N100" s="1"/>
      <c r="O100" s="2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6"/>
      <c r="I101" s="1"/>
      <c r="J101" s="1"/>
      <c r="K101" s="1"/>
      <c r="L101" s="1"/>
      <c r="M101" s="1"/>
      <c r="N101" s="1"/>
      <c r="O101" s="2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6"/>
      <c r="I102" s="1"/>
      <c r="J102" s="1"/>
      <c r="K102" s="1"/>
      <c r="L102" s="1"/>
      <c r="M102" s="1"/>
      <c r="N102" s="1"/>
      <c r="O102" s="2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6"/>
      <c r="I103" s="1"/>
      <c r="J103" s="1"/>
      <c r="K103" s="1"/>
      <c r="L103" s="1"/>
      <c r="M103" s="1"/>
      <c r="N103" s="1"/>
      <c r="O103" s="2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6"/>
      <c r="I104" s="1"/>
      <c r="J104" s="1"/>
      <c r="K104" s="1"/>
      <c r="L104" s="1"/>
      <c r="M104" s="1"/>
      <c r="N104" s="1"/>
      <c r="O104" s="2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6"/>
      <c r="I105" s="1"/>
      <c r="J105" s="1"/>
      <c r="K105" s="1"/>
      <c r="L105" s="1"/>
      <c r="M105" s="1"/>
      <c r="N105" s="1"/>
      <c r="O105" s="28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6"/>
      <c r="I106" s="1"/>
      <c r="J106" s="1"/>
      <c r="K106" s="1"/>
      <c r="L106" s="1"/>
      <c r="M106" s="1"/>
      <c r="N106" s="1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6"/>
      <c r="I107" s="1"/>
      <c r="J107" s="1"/>
      <c r="K107" s="1"/>
      <c r="L107" s="1"/>
      <c r="M107" s="1"/>
      <c r="N107" s="1"/>
      <c r="O107" s="2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6"/>
      <c r="I108" s="1"/>
      <c r="J108" s="1"/>
      <c r="K108" s="1"/>
      <c r="L108" s="1"/>
      <c r="M108" s="1"/>
      <c r="N108" s="1"/>
      <c r="O108" s="2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6"/>
      <c r="I109" s="1"/>
      <c r="J109" s="1"/>
      <c r="K109" s="1"/>
      <c r="L109" s="1"/>
      <c r="M109" s="1"/>
      <c r="N109" s="1"/>
      <c r="O109" s="2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6"/>
      <c r="I110" s="1"/>
      <c r="J110" s="1"/>
      <c r="K110" s="1"/>
      <c r="L110" s="1"/>
      <c r="M110" s="1"/>
      <c r="N110" s="1"/>
      <c r="O110" s="2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6"/>
      <c r="I111" s="1"/>
      <c r="J111" s="1"/>
      <c r="K111" s="1"/>
      <c r="L111" s="1"/>
      <c r="M111" s="1"/>
      <c r="N111" s="1"/>
      <c r="O111" s="2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6"/>
      <c r="I112" s="1"/>
      <c r="J112" s="1"/>
      <c r="K112" s="1"/>
      <c r="L112" s="1"/>
      <c r="M112" s="1"/>
      <c r="N112" s="1"/>
      <c r="O112" s="2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6"/>
      <c r="I113" s="1"/>
      <c r="J113" s="1"/>
      <c r="K113" s="1"/>
      <c r="L113" s="1"/>
      <c r="M113" s="1"/>
      <c r="N113" s="1"/>
      <c r="O113" s="2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6"/>
      <c r="I114" s="1"/>
      <c r="J114" s="1"/>
      <c r="K114" s="1"/>
      <c r="L114" s="1"/>
      <c r="M114" s="1"/>
      <c r="N114" s="1"/>
      <c r="O114" s="2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6"/>
      <c r="I115" s="1"/>
      <c r="J115" s="1"/>
      <c r="K115" s="1"/>
      <c r="L115" s="1"/>
      <c r="M115" s="1"/>
      <c r="N115" s="1"/>
      <c r="O115" s="2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6"/>
      <c r="I116" s="1"/>
      <c r="J116" s="1"/>
      <c r="K116" s="1"/>
      <c r="L116" s="1"/>
      <c r="M116" s="1"/>
      <c r="N116" s="1"/>
      <c r="O116" s="2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6"/>
      <c r="I117" s="1"/>
      <c r="J117" s="1"/>
      <c r="K117" s="1"/>
      <c r="L117" s="1"/>
      <c r="M117" s="1"/>
      <c r="N117" s="1"/>
      <c r="O117" s="2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6"/>
      <c r="I118" s="1"/>
      <c r="J118" s="1"/>
      <c r="K118" s="1"/>
      <c r="L118" s="1"/>
      <c r="M118" s="1"/>
      <c r="N118" s="1"/>
      <c r="O118" s="2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6"/>
      <c r="I119" s="1"/>
      <c r="J119" s="1"/>
      <c r="K119" s="1"/>
      <c r="L119" s="1"/>
      <c r="M119" s="1"/>
      <c r="N119" s="1"/>
      <c r="O119" s="2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6"/>
      <c r="I120" s="1"/>
      <c r="J120" s="1"/>
      <c r="K120" s="1"/>
      <c r="L120" s="1"/>
      <c r="M120" s="1"/>
      <c r="N120" s="1"/>
      <c r="O120" s="2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6"/>
      <c r="I121" s="1"/>
      <c r="J121" s="1"/>
      <c r="K121" s="1"/>
      <c r="L121" s="1"/>
      <c r="M121" s="1"/>
      <c r="N121" s="1"/>
      <c r="O121" s="2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9"/>
      <c r="B122" s="1"/>
      <c r="C122" s="1"/>
      <c r="D122" s="1"/>
      <c r="E122" s="1"/>
      <c r="F122" s="1"/>
      <c r="G122" s="1"/>
      <c r="H122" s="6"/>
      <c r="I122" s="1"/>
      <c r="J122" s="1"/>
      <c r="K122" s="1"/>
      <c r="L122" s="1"/>
      <c r="M122" s="1"/>
      <c r="N122" s="1"/>
      <c r="O122" s="28"/>
      <c r="P122" s="1"/>
      <c r="Q122" s="1"/>
      <c r="R122" s="1"/>
      <c r="S122" s="1"/>
      <c r="T122" s="1"/>
      <c r="U122" s="1"/>
      <c r="V122" s="1"/>
      <c r="W122" s="39"/>
      <c r="X122" s="39"/>
      <c r="Y122" s="39"/>
      <c r="Z122" s="39"/>
    </row>
    <row r="123" spans="1:26" ht="15.75" customHeight="1">
      <c r="A123" s="10"/>
      <c r="B123" s="1"/>
      <c r="C123" s="1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28"/>
      <c r="P123" s="1"/>
      <c r="Q123" s="1"/>
      <c r="R123" s="1"/>
      <c r="S123" s="1"/>
      <c r="T123" s="1"/>
      <c r="U123" s="1"/>
      <c r="V123" s="1"/>
      <c r="W123" s="10"/>
      <c r="X123" s="10"/>
      <c r="Y123" s="10"/>
      <c r="Z123" s="10"/>
    </row>
    <row r="124" spans="1:26" ht="15.75" customHeight="1">
      <c r="A124" s="1"/>
      <c r="B124" s="1"/>
      <c r="C124" s="1"/>
      <c r="D124" s="1"/>
      <c r="E124" s="1"/>
      <c r="F124" s="1"/>
      <c r="G124" s="1"/>
      <c r="H124" s="6"/>
      <c r="I124" s="1"/>
      <c r="J124" s="1"/>
      <c r="K124" s="1"/>
      <c r="L124" s="1"/>
      <c r="M124" s="1"/>
      <c r="N124" s="1"/>
      <c r="O124" s="2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6"/>
      <c r="I125" s="1"/>
      <c r="J125" s="1"/>
      <c r="K125" s="1"/>
      <c r="L125" s="1"/>
      <c r="M125" s="1"/>
      <c r="N125" s="1"/>
      <c r="O125" s="2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6"/>
      <c r="I126" s="1"/>
      <c r="J126" s="1"/>
      <c r="K126" s="1"/>
      <c r="L126" s="1"/>
      <c r="M126" s="1"/>
      <c r="N126" s="1"/>
      <c r="O126" s="2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2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6"/>
      <c r="I128" s="1"/>
      <c r="J128" s="1"/>
      <c r="K128" s="1"/>
      <c r="L128" s="1"/>
      <c r="M128" s="1"/>
      <c r="N128" s="1"/>
      <c r="O128" s="2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6"/>
      <c r="I129" s="1"/>
      <c r="J129" s="1"/>
      <c r="K129" s="1"/>
      <c r="L129" s="1"/>
      <c r="M129" s="1"/>
      <c r="N129" s="1"/>
      <c r="O129" s="2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6"/>
      <c r="I130" s="1"/>
      <c r="J130" s="1"/>
      <c r="K130" s="1"/>
      <c r="L130" s="1"/>
      <c r="M130" s="1"/>
      <c r="N130" s="1"/>
      <c r="O130" s="2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6"/>
      <c r="I131" s="1"/>
      <c r="J131" s="1"/>
      <c r="K131" s="1"/>
      <c r="L131" s="1"/>
      <c r="M131" s="1"/>
      <c r="N131" s="1"/>
      <c r="O131" s="2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6"/>
      <c r="I132" s="1"/>
      <c r="J132" s="1"/>
      <c r="K132" s="1"/>
      <c r="L132" s="1"/>
      <c r="M132" s="1"/>
      <c r="N132" s="1"/>
      <c r="O132" s="2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9"/>
      <c r="B133" s="1"/>
      <c r="C133" s="1"/>
      <c r="D133" s="1"/>
      <c r="E133" s="1"/>
      <c r="F133" s="1"/>
      <c r="G133" s="1"/>
      <c r="H133" s="6"/>
      <c r="I133" s="1"/>
      <c r="J133" s="1"/>
      <c r="K133" s="1"/>
      <c r="L133" s="1"/>
      <c r="M133" s="1"/>
      <c r="N133" s="1"/>
      <c r="O133" s="28"/>
      <c r="P133" s="1"/>
      <c r="Q133" s="1"/>
      <c r="R133" s="1"/>
      <c r="S133" s="1"/>
      <c r="T133" s="1"/>
      <c r="U133" s="1"/>
      <c r="V133" s="1"/>
      <c r="W133" s="39"/>
      <c r="X133" s="39"/>
      <c r="Y133" s="39"/>
      <c r="Z133" s="39"/>
    </row>
    <row r="134" spans="1:26" ht="15.75" customHeight="1">
      <c r="A134" s="10"/>
      <c r="B134" s="1"/>
      <c r="C134" s="1"/>
      <c r="D134" s="1"/>
      <c r="E134" s="1"/>
      <c r="F134" s="1"/>
      <c r="G134" s="1"/>
      <c r="H134" s="6"/>
      <c r="I134" s="1"/>
      <c r="J134" s="1"/>
      <c r="K134" s="1"/>
      <c r="L134" s="1"/>
      <c r="M134" s="1"/>
      <c r="N134" s="1"/>
      <c r="O134" s="28"/>
      <c r="P134" s="1"/>
      <c r="Q134" s="1"/>
      <c r="R134" s="1"/>
      <c r="S134" s="1"/>
      <c r="T134" s="1"/>
      <c r="U134" s="1"/>
      <c r="V134" s="1"/>
      <c r="W134" s="10"/>
      <c r="X134" s="10"/>
      <c r="Y134" s="10"/>
      <c r="Z134" s="10"/>
    </row>
    <row r="135" spans="1:26" ht="15.75" customHeight="1">
      <c r="A135" s="1"/>
      <c r="B135" s="1"/>
      <c r="C135" s="1"/>
      <c r="D135" s="1"/>
      <c r="E135" s="1"/>
      <c r="F135" s="1"/>
      <c r="G135" s="1"/>
      <c r="H135" s="6"/>
      <c r="I135" s="1"/>
      <c r="J135" s="1"/>
      <c r="K135" s="1"/>
      <c r="L135" s="1"/>
      <c r="M135" s="1"/>
      <c r="N135" s="1"/>
      <c r="O135" s="2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6"/>
      <c r="I136" s="1"/>
      <c r="J136" s="1"/>
      <c r="K136" s="1"/>
      <c r="L136" s="1"/>
      <c r="M136" s="1"/>
      <c r="N136" s="1"/>
      <c r="O136" s="2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6"/>
      <c r="I137" s="1"/>
      <c r="J137" s="1"/>
      <c r="K137" s="1"/>
      <c r="L137" s="1"/>
      <c r="M137" s="1"/>
      <c r="N137" s="1"/>
      <c r="O137" s="2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6"/>
      <c r="I138" s="1"/>
      <c r="J138" s="1"/>
      <c r="K138" s="1"/>
      <c r="L138" s="1"/>
      <c r="M138" s="1"/>
      <c r="N138" s="1"/>
      <c r="O138" s="2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6"/>
      <c r="I139" s="1"/>
      <c r="J139" s="1"/>
      <c r="K139" s="1"/>
      <c r="L139" s="1"/>
      <c r="M139" s="1"/>
      <c r="N139" s="1"/>
      <c r="O139" s="2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6"/>
      <c r="I140" s="1"/>
      <c r="J140" s="1"/>
      <c r="K140" s="1"/>
      <c r="L140" s="1"/>
      <c r="M140" s="1"/>
      <c r="N140" s="1"/>
      <c r="O140" s="2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6"/>
      <c r="I141" s="1"/>
      <c r="J141" s="1"/>
      <c r="K141" s="1"/>
      <c r="L141" s="1"/>
      <c r="M141" s="1"/>
      <c r="N141" s="1"/>
      <c r="O141" s="2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6"/>
      <c r="I142" s="1"/>
      <c r="J142" s="1"/>
      <c r="K142" s="1"/>
      <c r="L142" s="1"/>
      <c r="M142" s="1"/>
      <c r="N142" s="1"/>
      <c r="O142" s="2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6"/>
      <c r="I143" s="1"/>
      <c r="J143" s="1"/>
      <c r="K143" s="1"/>
      <c r="L143" s="1"/>
      <c r="M143" s="1"/>
      <c r="N143" s="1"/>
      <c r="O143" s="2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6"/>
      <c r="I144" s="1"/>
      <c r="J144" s="1"/>
      <c r="K144" s="1"/>
      <c r="L144" s="1"/>
      <c r="M144" s="1"/>
      <c r="N144" s="1"/>
      <c r="O144" s="2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6"/>
      <c r="I145" s="1"/>
      <c r="J145" s="1"/>
      <c r="K145" s="1"/>
      <c r="L145" s="1"/>
      <c r="M145" s="1"/>
      <c r="N145" s="1"/>
      <c r="O145" s="2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6"/>
      <c r="I146" s="1"/>
      <c r="J146" s="1"/>
      <c r="K146" s="1"/>
      <c r="L146" s="1"/>
      <c r="M146" s="1"/>
      <c r="N146" s="1"/>
      <c r="O146" s="2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6"/>
      <c r="I147" s="1"/>
      <c r="J147" s="1"/>
      <c r="K147" s="1"/>
      <c r="L147" s="1"/>
      <c r="M147" s="1"/>
      <c r="N147" s="1"/>
      <c r="O147" s="28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6"/>
      <c r="I148" s="1"/>
      <c r="J148" s="1"/>
      <c r="K148" s="1"/>
      <c r="L148" s="1"/>
      <c r="M148" s="1"/>
      <c r="N148" s="1"/>
      <c r="O148" s="2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9"/>
      <c r="B149" s="1"/>
      <c r="C149" s="1"/>
      <c r="D149" s="1"/>
      <c r="E149" s="1"/>
      <c r="F149" s="1"/>
      <c r="G149" s="1"/>
      <c r="H149" s="6"/>
      <c r="I149" s="1"/>
      <c r="J149" s="1"/>
      <c r="K149" s="1"/>
      <c r="L149" s="1"/>
      <c r="M149" s="1"/>
      <c r="N149" s="1"/>
      <c r="O149" s="28"/>
      <c r="P149" s="1"/>
      <c r="Q149" s="1"/>
      <c r="R149" s="1"/>
      <c r="S149" s="1"/>
      <c r="T149" s="1"/>
      <c r="U149" s="1"/>
      <c r="V149" s="1"/>
      <c r="W149" s="39"/>
      <c r="X149" s="39"/>
      <c r="Y149" s="39"/>
      <c r="Z149" s="39"/>
    </row>
    <row r="150" spans="1:26" ht="15.75" customHeight="1">
      <c r="A150" s="1"/>
      <c r="B150" s="1"/>
      <c r="C150" s="1"/>
      <c r="D150" s="1"/>
      <c r="E150" s="1"/>
      <c r="F150" s="1"/>
      <c r="G150" s="1"/>
      <c r="H150" s="6"/>
      <c r="I150" s="1"/>
      <c r="J150" s="1"/>
      <c r="K150" s="1"/>
      <c r="L150" s="1"/>
      <c r="M150" s="1"/>
      <c r="N150" s="1"/>
      <c r="O150" s="2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6"/>
      <c r="I151" s="1"/>
      <c r="J151" s="1"/>
      <c r="K151" s="1"/>
      <c r="L151" s="1"/>
      <c r="M151" s="1"/>
      <c r="N151" s="1"/>
      <c r="O151" s="2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6"/>
      <c r="I152" s="1"/>
      <c r="J152" s="1"/>
      <c r="K152" s="1"/>
      <c r="L152" s="1"/>
      <c r="M152" s="1"/>
      <c r="N152" s="1"/>
      <c r="O152" s="2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6"/>
      <c r="I153" s="1"/>
      <c r="J153" s="1"/>
      <c r="K153" s="1"/>
      <c r="L153" s="1"/>
      <c r="M153" s="1"/>
      <c r="N153" s="1"/>
      <c r="O153" s="2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6"/>
      <c r="I154" s="1"/>
      <c r="J154" s="1"/>
      <c r="K154" s="1"/>
      <c r="L154" s="1"/>
      <c r="M154" s="1"/>
      <c r="N154" s="1"/>
      <c r="O154" s="2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6"/>
      <c r="I155" s="1"/>
      <c r="J155" s="1"/>
      <c r="K155" s="1"/>
      <c r="L155" s="1"/>
      <c r="M155" s="1"/>
      <c r="N155" s="1"/>
      <c r="O155" s="2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6"/>
      <c r="I156" s="1"/>
      <c r="J156" s="1"/>
      <c r="K156" s="1"/>
      <c r="L156" s="1"/>
      <c r="M156" s="1"/>
      <c r="N156" s="1"/>
      <c r="O156" s="2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6"/>
      <c r="I157" s="1"/>
      <c r="J157" s="1"/>
      <c r="K157" s="1"/>
      <c r="L157" s="1"/>
      <c r="M157" s="1"/>
      <c r="N157" s="1"/>
      <c r="O157" s="2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6"/>
      <c r="I158" s="1"/>
      <c r="J158" s="1"/>
      <c r="K158" s="1"/>
      <c r="L158" s="1"/>
      <c r="M158" s="1"/>
      <c r="N158" s="1"/>
      <c r="O158" s="2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6"/>
      <c r="I159" s="1"/>
      <c r="J159" s="1"/>
      <c r="K159" s="1"/>
      <c r="L159" s="1"/>
      <c r="M159" s="1"/>
      <c r="N159" s="1"/>
      <c r="O159" s="28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6"/>
      <c r="I160" s="1"/>
      <c r="J160" s="1"/>
      <c r="K160" s="1"/>
      <c r="L160" s="1"/>
      <c r="M160" s="1"/>
      <c r="N160" s="1"/>
      <c r="O160" s="2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6"/>
      <c r="I161" s="1"/>
      <c r="J161" s="1"/>
      <c r="K161" s="1"/>
      <c r="L161" s="1"/>
      <c r="M161" s="1"/>
      <c r="N161" s="1"/>
      <c r="O161" s="2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6"/>
      <c r="I162" s="1"/>
      <c r="J162" s="1"/>
      <c r="K162" s="1"/>
      <c r="L162" s="1"/>
      <c r="M162" s="1"/>
      <c r="N162" s="1"/>
      <c r="O162" s="2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6"/>
      <c r="I163" s="1"/>
      <c r="J163" s="1"/>
      <c r="K163" s="1"/>
      <c r="L163" s="1"/>
      <c r="M163" s="1"/>
      <c r="N163" s="1"/>
      <c r="O163" s="2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6"/>
      <c r="I164" s="1"/>
      <c r="J164" s="1"/>
      <c r="K164" s="1"/>
      <c r="L164" s="1"/>
      <c r="M164" s="1"/>
      <c r="N164" s="1"/>
      <c r="O164" s="2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6"/>
      <c r="I165" s="1"/>
      <c r="J165" s="1"/>
      <c r="K165" s="1"/>
      <c r="L165" s="1"/>
      <c r="M165" s="1"/>
      <c r="N165" s="1"/>
      <c r="O165" s="2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6"/>
      <c r="I166" s="1"/>
      <c r="J166" s="1"/>
      <c r="K166" s="1"/>
      <c r="L166" s="1"/>
      <c r="M166" s="1"/>
      <c r="N166" s="1"/>
      <c r="O166" s="2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6"/>
      <c r="I167" s="1"/>
      <c r="J167" s="1"/>
      <c r="K167" s="1"/>
      <c r="L167" s="1"/>
      <c r="M167" s="1"/>
      <c r="N167" s="1"/>
      <c r="O167" s="2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6"/>
      <c r="I168" s="1"/>
      <c r="J168" s="1"/>
      <c r="K168" s="1"/>
      <c r="L168" s="1"/>
      <c r="M168" s="1"/>
      <c r="N168" s="1"/>
      <c r="O168" s="2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6"/>
      <c r="I169" s="1"/>
      <c r="J169" s="1"/>
      <c r="K169" s="1"/>
      <c r="L169" s="1"/>
      <c r="M169" s="1"/>
      <c r="N169" s="1"/>
      <c r="O169" s="2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6"/>
      <c r="I170" s="1"/>
      <c r="J170" s="1"/>
      <c r="K170" s="1"/>
      <c r="L170" s="1"/>
      <c r="M170" s="1"/>
      <c r="N170" s="1"/>
      <c r="O170" s="28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6"/>
      <c r="I171" s="1"/>
      <c r="J171" s="1"/>
      <c r="K171" s="1"/>
      <c r="L171" s="1"/>
      <c r="M171" s="1"/>
      <c r="N171" s="1"/>
      <c r="O171" s="2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6"/>
      <c r="I172" s="1"/>
      <c r="J172" s="1"/>
      <c r="K172" s="1"/>
      <c r="L172" s="1"/>
      <c r="M172" s="1"/>
      <c r="N172" s="1"/>
      <c r="O172" s="2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6"/>
      <c r="I173" s="1"/>
      <c r="J173" s="1"/>
      <c r="K173" s="1"/>
      <c r="L173" s="1"/>
      <c r="M173" s="1"/>
      <c r="N173" s="1"/>
      <c r="O173" s="2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6"/>
      <c r="I174" s="1"/>
      <c r="J174" s="1"/>
      <c r="K174" s="1"/>
      <c r="L174" s="1"/>
      <c r="M174" s="1"/>
      <c r="N174" s="1"/>
      <c r="O174" s="2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6"/>
      <c r="I175" s="1"/>
      <c r="J175" s="1"/>
      <c r="K175" s="1"/>
      <c r="L175" s="1"/>
      <c r="M175" s="1"/>
      <c r="N175" s="1"/>
      <c r="O175" s="2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6"/>
      <c r="I176" s="1"/>
      <c r="J176" s="1"/>
      <c r="K176" s="1"/>
      <c r="L176" s="1"/>
      <c r="M176" s="1"/>
      <c r="N176" s="1"/>
      <c r="O176" s="2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6"/>
      <c r="I177" s="1"/>
      <c r="J177" s="1"/>
      <c r="K177" s="1"/>
      <c r="L177" s="1"/>
      <c r="M177" s="1"/>
      <c r="N177" s="1"/>
      <c r="O177" s="2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6"/>
      <c r="I178" s="1"/>
      <c r="J178" s="1"/>
      <c r="K178" s="1"/>
      <c r="L178" s="1"/>
      <c r="M178" s="1"/>
      <c r="N178" s="1"/>
      <c r="O178" s="28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6"/>
      <c r="I179" s="1"/>
      <c r="J179" s="1"/>
      <c r="K179" s="1"/>
      <c r="L179" s="1"/>
      <c r="M179" s="1"/>
      <c r="N179" s="1"/>
      <c r="O179" s="28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6"/>
      <c r="I180" s="1"/>
      <c r="J180" s="1"/>
      <c r="K180" s="1"/>
      <c r="L180" s="1"/>
      <c r="M180" s="1"/>
      <c r="N180" s="1"/>
      <c r="O180" s="28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6"/>
      <c r="I181" s="1"/>
      <c r="J181" s="1"/>
      <c r="K181" s="1"/>
      <c r="L181" s="1"/>
      <c r="M181" s="1"/>
      <c r="N181" s="1"/>
      <c r="O181" s="28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6"/>
      <c r="I182" s="1"/>
      <c r="J182" s="1"/>
      <c r="K182" s="1"/>
      <c r="L182" s="1"/>
      <c r="M182" s="1"/>
      <c r="N182" s="1"/>
      <c r="O182" s="2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6"/>
      <c r="I183" s="1"/>
      <c r="J183" s="1"/>
      <c r="K183" s="1"/>
      <c r="L183" s="1"/>
      <c r="M183" s="1"/>
      <c r="N183" s="1"/>
      <c r="O183" s="2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6"/>
      <c r="I184" s="1"/>
      <c r="J184" s="1"/>
      <c r="K184" s="1"/>
      <c r="L184" s="1"/>
      <c r="M184" s="1"/>
      <c r="N184" s="1"/>
      <c r="O184" s="2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6"/>
      <c r="I185" s="1"/>
      <c r="J185" s="1"/>
      <c r="K185" s="1"/>
      <c r="L185" s="1"/>
      <c r="M185" s="1"/>
      <c r="N185" s="1"/>
      <c r="O185" s="28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6"/>
      <c r="I186" s="1"/>
      <c r="J186" s="1"/>
      <c r="K186" s="1"/>
      <c r="L186" s="1"/>
      <c r="M186" s="1"/>
      <c r="N186" s="1"/>
      <c r="O186" s="2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6"/>
      <c r="I187" s="1"/>
      <c r="J187" s="1"/>
      <c r="K187" s="1"/>
      <c r="L187" s="1"/>
      <c r="M187" s="1"/>
      <c r="N187" s="1"/>
      <c r="O187" s="2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6"/>
      <c r="I188" s="1"/>
      <c r="J188" s="1"/>
      <c r="K188" s="1"/>
      <c r="L188" s="1"/>
      <c r="M188" s="1"/>
      <c r="N188" s="1"/>
      <c r="O188" s="28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6"/>
      <c r="I189" s="1"/>
      <c r="J189" s="1"/>
      <c r="K189" s="1"/>
      <c r="L189" s="1"/>
      <c r="M189" s="1"/>
      <c r="N189" s="1"/>
      <c r="O189" s="28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6"/>
      <c r="I190" s="1"/>
      <c r="J190" s="1"/>
      <c r="K190" s="1"/>
      <c r="L190" s="1"/>
      <c r="M190" s="1"/>
      <c r="N190" s="1"/>
      <c r="O190" s="2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6"/>
      <c r="I191" s="1"/>
      <c r="J191" s="1"/>
      <c r="K191" s="1"/>
      <c r="L191" s="1"/>
      <c r="M191" s="1"/>
      <c r="N191" s="1"/>
      <c r="O191" s="2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6"/>
      <c r="I192" s="1"/>
      <c r="J192" s="1"/>
      <c r="K192" s="1"/>
      <c r="L192" s="1"/>
      <c r="M192" s="1"/>
      <c r="N192" s="1"/>
      <c r="O192" s="2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6"/>
      <c r="I193" s="1"/>
      <c r="J193" s="1"/>
      <c r="K193" s="1"/>
      <c r="L193" s="1"/>
      <c r="M193" s="1"/>
      <c r="N193" s="1"/>
      <c r="O193" s="2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6"/>
      <c r="I194" s="1"/>
      <c r="J194" s="1"/>
      <c r="K194" s="1"/>
      <c r="L194" s="1"/>
      <c r="M194" s="1"/>
      <c r="N194" s="1"/>
      <c r="O194" s="2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6"/>
      <c r="I195" s="1"/>
      <c r="J195" s="1"/>
      <c r="K195" s="1"/>
      <c r="L195" s="1"/>
      <c r="M195" s="1"/>
      <c r="N195" s="1"/>
      <c r="O195" s="2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6"/>
      <c r="I196" s="1"/>
      <c r="J196" s="1"/>
      <c r="K196" s="1"/>
      <c r="L196" s="1"/>
      <c r="M196" s="1"/>
      <c r="N196" s="1"/>
      <c r="O196" s="2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6"/>
      <c r="I197" s="1"/>
      <c r="J197" s="1"/>
      <c r="K197" s="1"/>
      <c r="L197" s="1"/>
      <c r="M197" s="1"/>
      <c r="N197" s="1"/>
      <c r="O197" s="2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6"/>
      <c r="I198" s="1"/>
      <c r="J198" s="1"/>
      <c r="K198" s="1"/>
      <c r="L198" s="1"/>
      <c r="M198" s="1"/>
      <c r="N198" s="1"/>
      <c r="O198" s="2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6"/>
      <c r="I199" s="1"/>
      <c r="J199" s="1"/>
      <c r="K199" s="1"/>
      <c r="L199" s="1"/>
      <c r="M199" s="1"/>
      <c r="N199" s="1"/>
      <c r="O199" s="2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6"/>
      <c r="I200" s="1"/>
      <c r="J200" s="1"/>
      <c r="K200" s="1"/>
      <c r="L200" s="1"/>
      <c r="M200" s="1"/>
      <c r="N200" s="1"/>
      <c r="O200" s="2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6"/>
      <c r="I201" s="1"/>
      <c r="J201" s="1"/>
      <c r="K201" s="1"/>
      <c r="L201" s="1"/>
      <c r="M201" s="1"/>
      <c r="N201" s="1"/>
      <c r="O201" s="2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6"/>
      <c r="I202" s="1"/>
      <c r="J202" s="1"/>
      <c r="K202" s="1"/>
      <c r="L202" s="1"/>
      <c r="M202" s="1"/>
      <c r="N202" s="1"/>
      <c r="O202" s="2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6"/>
      <c r="I203" s="1"/>
      <c r="J203" s="1"/>
      <c r="K203" s="1"/>
      <c r="L203" s="1"/>
      <c r="M203" s="1"/>
      <c r="N203" s="1"/>
      <c r="O203" s="2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6"/>
      <c r="I204" s="1"/>
      <c r="J204" s="1"/>
      <c r="K204" s="1"/>
      <c r="L204" s="1"/>
      <c r="M204" s="1"/>
      <c r="N204" s="1"/>
      <c r="O204" s="2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6"/>
      <c r="I205" s="1"/>
      <c r="J205" s="1"/>
      <c r="K205" s="1"/>
      <c r="L205" s="1"/>
      <c r="M205" s="1"/>
      <c r="N205" s="1"/>
      <c r="O205" s="28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6"/>
      <c r="I206" s="1"/>
      <c r="J206" s="1"/>
      <c r="K206" s="1"/>
      <c r="L206" s="1"/>
      <c r="M206" s="1"/>
      <c r="N206" s="1"/>
      <c r="O206" s="2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6"/>
      <c r="I207" s="1"/>
      <c r="J207" s="1"/>
      <c r="K207" s="1"/>
      <c r="L207" s="1"/>
      <c r="M207" s="1"/>
      <c r="N207" s="1"/>
      <c r="O207" s="2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6"/>
      <c r="I208" s="1"/>
      <c r="J208" s="1"/>
      <c r="K208" s="1"/>
      <c r="L208" s="1"/>
      <c r="M208" s="1"/>
      <c r="N208" s="1"/>
      <c r="O208" s="28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6"/>
      <c r="I209" s="1"/>
      <c r="J209" s="1"/>
      <c r="K209" s="1"/>
      <c r="L209" s="1"/>
      <c r="M209" s="1"/>
      <c r="N209" s="1"/>
      <c r="O209" s="2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6"/>
      <c r="I210" s="1"/>
      <c r="J210" s="1"/>
      <c r="K210" s="1"/>
      <c r="L210" s="1"/>
      <c r="M210" s="1"/>
      <c r="N210" s="1"/>
      <c r="O210" s="2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6"/>
      <c r="I211" s="1"/>
      <c r="J211" s="1"/>
      <c r="K211" s="1"/>
      <c r="L211" s="1"/>
      <c r="M211" s="1"/>
      <c r="N211" s="1"/>
      <c r="O211" s="28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6"/>
      <c r="I212" s="1"/>
      <c r="J212" s="1"/>
      <c r="K212" s="1"/>
      <c r="L212" s="1"/>
      <c r="M212" s="1"/>
      <c r="N212" s="1"/>
      <c r="O212" s="28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6"/>
      <c r="I213" s="1"/>
      <c r="J213" s="1"/>
      <c r="K213" s="1"/>
      <c r="L213" s="1"/>
      <c r="M213" s="1"/>
      <c r="N213" s="1"/>
      <c r="O213" s="28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6"/>
      <c r="I214" s="1"/>
      <c r="J214" s="1"/>
      <c r="K214" s="1"/>
      <c r="L214" s="1"/>
      <c r="M214" s="1"/>
      <c r="N214" s="1"/>
      <c r="O214" s="28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6"/>
      <c r="I215" s="1"/>
      <c r="J215" s="1"/>
      <c r="K215" s="1"/>
      <c r="L215" s="1"/>
      <c r="M215" s="1"/>
      <c r="N215" s="1"/>
      <c r="O215" s="28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6"/>
      <c r="I216" s="1"/>
      <c r="J216" s="1"/>
      <c r="K216" s="1"/>
      <c r="L216" s="1"/>
      <c r="M216" s="1"/>
      <c r="N216" s="1"/>
      <c r="O216" s="2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6"/>
      <c r="I217" s="1"/>
      <c r="J217" s="1"/>
      <c r="K217" s="1"/>
      <c r="L217" s="1"/>
      <c r="M217" s="1"/>
      <c r="N217" s="1"/>
      <c r="O217" s="2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6"/>
      <c r="I218" s="1"/>
      <c r="J218" s="1"/>
      <c r="K218" s="1"/>
      <c r="L218" s="1"/>
      <c r="M218" s="1"/>
      <c r="N218" s="1"/>
      <c r="O218" s="2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6"/>
      <c r="I219" s="1"/>
      <c r="J219" s="1"/>
      <c r="K219" s="1"/>
      <c r="L219" s="1"/>
      <c r="M219" s="1"/>
      <c r="N219" s="1"/>
      <c r="O219" s="2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6"/>
      <c r="I220" s="1"/>
      <c r="J220" s="1"/>
      <c r="K220" s="1"/>
      <c r="L220" s="1"/>
      <c r="M220" s="1"/>
      <c r="N220" s="1"/>
      <c r="O220" s="2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6"/>
      <c r="I221" s="1"/>
      <c r="J221" s="1"/>
      <c r="K221" s="1"/>
      <c r="L221" s="1"/>
      <c r="M221" s="1"/>
      <c r="N221" s="1"/>
      <c r="O221" s="28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6"/>
      <c r="I222" s="1"/>
      <c r="J222" s="1"/>
      <c r="K222" s="1"/>
      <c r="L222" s="1"/>
      <c r="M222" s="1"/>
      <c r="N222" s="1"/>
      <c r="O222" s="28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6"/>
      <c r="I223" s="1"/>
      <c r="J223" s="1"/>
      <c r="K223" s="1"/>
      <c r="L223" s="1"/>
      <c r="M223" s="1"/>
      <c r="N223" s="1"/>
      <c r="O223" s="2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6"/>
      <c r="I224" s="1"/>
      <c r="J224" s="1"/>
      <c r="K224" s="1"/>
      <c r="L224" s="1"/>
      <c r="M224" s="1"/>
      <c r="N224" s="1"/>
      <c r="O224" s="2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6"/>
      <c r="I225" s="1"/>
      <c r="J225" s="1"/>
      <c r="K225" s="1"/>
      <c r="L225" s="1"/>
      <c r="M225" s="1"/>
      <c r="N225" s="1"/>
      <c r="O225" s="28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6"/>
      <c r="I226" s="1"/>
      <c r="J226" s="1"/>
      <c r="K226" s="1"/>
      <c r="L226" s="1"/>
      <c r="M226" s="1"/>
      <c r="N226" s="1"/>
      <c r="O226" s="28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6"/>
      <c r="I227" s="1"/>
      <c r="J227" s="1"/>
      <c r="K227" s="1"/>
      <c r="L227" s="1"/>
      <c r="M227" s="1"/>
      <c r="N227" s="1"/>
      <c r="O227" s="28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6"/>
      <c r="I228" s="1"/>
      <c r="J228" s="1"/>
      <c r="K228" s="1"/>
      <c r="L228" s="1"/>
      <c r="M228" s="1"/>
      <c r="N228" s="1"/>
      <c r="O228" s="28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6"/>
      <c r="I229" s="1"/>
      <c r="J229" s="1"/>
      <c r="K229" s="1"/>
      <c r="L229" s="1"/>
      <c r="M229" s="1"/>
      <c r="N229" s="1"/>
      <c r="O229" s="28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6"/>
      <c r="I230" s="1"/>
      <c r="J230" s="1"/>
      <c r="K230" s="1"/>
      <c r="L230" s="1"/>
      <c r="M230" s="1"/>
      <c r="N230" s="1"/>
      <c r="O230" s="28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6"/>
      <c r="I231" s="1"/>
      <c r="J231" s="1"/>
      <c r="K231" s="1"/>
      <c r="L231" s="1"/>
      <c r="M231" s="1"/>
      <c r="N231" s="1"/>
      <c r="O231" s="28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6"/>
      <c r="I232" s="1"/>
      <c r="J232" s="1"/>
      <c r="K232" s="1"/>
      <c r="L232" s="1"/>
      <c r="M232" s="1"/>
      <c r="N232" s="1"/>
      <c r="O232" s="28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6"/>
      <c r="I233" s="1"/>
      <c r="J233" s="1"/>
      <c r="K233" s="1"/>
      <c r="L233" s="1"/>
      <c r="M233" s="1"/>
      <c r="N233" s="1"/>
      <c r="O233" s="28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6"/>
      <c r="I234" s="1"/>
      <c r="J234" s="1"/>
      <c r="K234" s="1"/>
      <c r="L234" s="1"/>
      <c r="M234" s="1"/>
      <c r="N234" s="1"/>
      <c r="O234" s="28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6"/>
      <c r="I235" s="1"/>
      <c r="J235" s="1"/>
      <c r="K235" s="1"/>
      <c r="L235" s="1"/>
      <c r="M235" s="1"/>
      <c r="N235" s="1"/>
      <c r="O235" s="28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6"/>
      <c r="I236" s="1"/>
      <c r="J236" s="1"/>
      <c r="K236" s="1"/>
      <c r="L236" s="1"/>
      <c r="M236" s="1"/>
      <c r="N236" s="1"/>
      <c r="O236" s="28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6"/>
      <c r="I237" s="1"/>
      <c r="J237" s="1"/>
      <c r="K237" s="1"/>
      <c r="L237" s="1"/>
      <c r="M237" s="1"/>
      <c r="N237" s="1"/>
      <c r="O237" s="28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6"/>
      <c r="I238" s="1"/>
      <c r="J238" s="1"/>
      <c r="K238" s="1"/>
      <c r="L238" s="1"/>
      <c r="M238" s="1"/>
      <c r="N238" s="1"/>
      <c r="O238" s="28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6"/>
      <c r="I239" s="1"/>
      <c r="J239" s="1"/>
      <c r="K239" s="1"/>
      <c r="L239" s="1"/>
      <c r="M239" s="1"/>
      <c r="N239" s="1"/>
      <c r="O239" s="2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6"/>
      <c r="I240" s="1"/>
      <c r="J240" s="1"/>
      <c r="K240" s="1"/>
      <c r="L240" s="1"/>
      <c r="M240" s="1"/>
      <c r="N240" s="1"/>
      <c r="O240" s="2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6"/>
      <c r="I241" s="1"/>
      <c r="J241" s="1"/>
      <c r="K241" s="1"/>
      <c r="L241" s="1"/>
      <c r="M241" s="1"/>
      <c r="N241" s="1"/>
      <c r="O241" s="2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6"/>
      <c r="I242" s="1"/>
      <c r="J242" s="1"/>
      <c r="K242" s="1"/>
      <c r="L242" s="1"/>
      <c r="M242" s="1"/>
      <c r="N242" s="1"/>
      <c r="O242" s="28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6"/>
      <c r="I243" s="1"/>
      <c r="J243" s="1"/>
      <c r="K243" s="1"/>
      <c r="L243" s="1"/>
      <c r="M243" s="1"/>
      <c r="N243" s="1"/>
      <c r="O243" s="28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6"/>
      <c r="I244" s="1"/>
      <c r="J244" s="1"/>
      <c r="K244" s="1"/>
      <c r="L244" s="1"/>
      <c r="M244" s="1"/>
      <c r="N244" s="1"/>
      <c r="O244" s="28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6"/>
      <c r="I245" s="1"/>
      <c r="J245" s="1"/>
      <c r="K245" s="1"/>
      <c r="L245" s="1"/>
      <c r="M245" s="1"/>
      <c r="N245" s="1"/>
      <c r="O245" s="28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6"/>
      <c r="I246" s="1"/>
      <c r="J246" s="1"/>
      <c r="K246" s="1"/>
      <c r="L246" s="1"/>
      <c r="M246" s="1"/>
      <c r="N246" s="1"/>
      <c r="O246" s="28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6"/>
      <c r="I247" s="1"/>
      <c r="J247" s="1"/>
      <c r="K247" s="1"/>
      <c r="L247" s="1"/>
      <c r="M247" s="1"/>
      <c r="N247" s="1"/>
      <c r="O247" s="28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6"/>
      <c r="I248" s="1"/>
      <c r="J248" s="1"/>
      <c r="K248" s="1"/>
      <c r="L248" s="1"/>
      <c r="M248" s="1"/>
      <c r="N248" s="1"/>
      <c r="O248" s="28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6"/>
      <c r="I249" s="1"/>
      <c r="J249" s="1"/>
      <c r="K249" s="1"/>
      <c r="L249" s="1"/>
      <c r="M249" s="1"/>
      <c r="N249" s="1"/>
      <c r="O249" s="28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6"/>
      <c r="I250" s="1"/>
      <c r="J250" s="1"/>
      <c r="K250" s="1"/>
      <c r="L250" s="1"/>
      <c r="M250" s="1"/>
      <c r="N250" s="1"/>
      <c r="O250" s="2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6"/>
      <c r="I251" s="1"/>
      <c r="J251" s="1"/>
      <c r="K251" s="1"/>
      <c r="L251" s="1"/>
      <c r="M251" s="1"/>
      <c r="N251" s="1"/>
      <c r="O251" s="28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6"/>
      <c r="I252" s="1"/>
      <c r="J252" s="1"/>
      <c r="K252" s="1"/>
      <c r="L252" s="1"/>
      <c r="M252" s="1"/>
      <c r="N252" s="1"/>
      <c r="O252" s="28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6"/>
      <c r="I253" s="1"/>
      <c r="J253" s="1"/>
      <c r="K253" s="1"/>
      <c r="L253" s="1"/>
      <c r="M253" s="1"/>
      <c r="N253" s="1"/>
      <c r="O253" s="28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6"/>
      <c r="I254" s="1"/>
      <c r="J254" s="1"/>
      <c r="K254" s="1"/>
      <c r="L254" s="1"/>
      <c r="M254" s="1"/>
      <c r="N254" s="1"/>
      <c r="O254" s="28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6"/>
      <c r="I255" s="1"/>
      <c r="J255" s="1"/>
      <c r="K255" s="1"/>
      <c r="L255" s="1"/>
      <c r="M255" s="1"/>
      <c r="N255" s="1"/>
      <c r="O255" s="28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6"/>
      <c r="I256" s="1"/>
      <c r="J256" s="1"/>
      <c r="K256" s="1"/>
      <c r="L256" s="1"/>
      <c r="M256" s="1"/>
      <c r="N256" s="1"/>
      <c r="O256" s="28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6"/>
      <c r="I257" s="1"/>
      <c r="J257" s="1"/>
      <c r="K257" s="1"/>
      <c r="L257" s="1"/>
      <c r="M257" s="1"/>
      <c r="N257" s="1"/>
      <c r="O257" s="28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3:E4"/>
    <mergeCell ref="B5:E5"/>
    <mergeCell ref="Q5:U5"/>
    <mergeCell ref="B6:E6"/>
    <mergeCell ref="B8:E8"/>
    <mergeCell ref="B9:E9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56:E56"/>
    <mergeCell ref="B57:E57"/>
    <mergeCell ref="B48:E48"/>
    <mergeCell ref="B49:E49"/>
    <mergeCell ref="B51:E51"/>
    <mergeCell ref="B52:E52"/>
    <mergeCell ref="B53:E53"/>
    <mergeCell ref="B54:E54"/>
    <mergeCell ref="B55:E55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1:A1000"/>
  <sheetViews>
    <sheetView showGridLines="0"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16342"/>
  </sheetPr>
  <dimension ref="A1:Z1000"/>
  <sheetViews>
    <sheetView showGridLines="0" topLeftCell="A4" zoomScale="65" zoomScaleNormal="65" workbookViewId="0">
      <selection activeCell="H2" sqref="H2"/>
    </sheetView>
  </sheetViews>
  <sheetFormatPr defaultColWidth="14.42578125" defaultRowHeight="15" customHeight="1"/>
  <cols>
    <col min="1" max="1" width="5.85546875" customWidth="1"/>
    <col min="2" max="13" width="12.7109375" customWidth="1"/>
    <col min="14" max="14" width="5.7109375" customWidth="1"/>
    <col min="15" max="26" width="12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41" t="s">
        <v>46</v>
      </c>
      <c r="C3" s="232"/>
      <c r="D3" s="232"/>
      <c r="E3" s="232"/>
      <c r="F3" s="1"/>
      <c r="G3" s="1"/>
      <c r="H3" s="1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32"/>
      <c r="C4" s="232"/>
      <c r="D4" s="232"/>
      <c r="E4" s="23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47" t="s">
        <v>5</v>
      </c>
      <c r="C5" s="248"/>
      <c r="D5" s="248"/>
      <c r="E5" s="249"/>
      <c r="F5" s="29">
        <f t="shared" ref="F5:G5" si="0">G5-1</f>
        <v>2020</v>
      </c>
      <c r="G5" s="29">
        <f t="shared" si="0"/>
        <v>2021</v>
      </c>
      <c r="H5" s="30">
        <v>2022</v>
      </c>
      <c r="I5" s="31">
        <f t="shared" ref="I5:M5" si="1">H5+1</f>
        <v>2023</v>
      </c>
      <c r="J5" s="31">
        <f t="shared" si="1"/>
        <v>2024</v>
      </c>
      <c r="K5" s="31">
        <f t="shared" si="1"/>
        <v>2025</v>
      </c>
      <c r="L5" s="31">
        <f t="shared" si="1"/>
        <v>2026</v>
      </c>
      <c r="M5" s="32">
        <f t="shared" si="1"/>
        <v>2027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55" t="s">
        <v>6</v>
      </c>
      <c r="C6" s="234"/>
      <c r="D6" s="234"/>
      <c r="E6" s="234"/>
      <c r="F6" s="1"/>
      <c r="G6" s="1"/>
      <c r="H6" s="6"/>
      <c r="I6" s="1"/>
      <c r="J6" s="1"/>
      <c r="K6" s="1"/>
      <c r="L6" s="1"/>
      <c r="M6" s="1"/>
      <c r="N6" s="1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31"/>
      <c r="C7" s="232"/>
      <c r="D7" s="232"/>
      <c r="E7" s="232"/>
      <c r="F7" s="1"/>
      <c r="G7" s="1"/>
      <c r="H7" s="6"/>
      <c r="I7" s="1"/>
      <c r="J7" s="1"/>
      <c r="K7" s="1"/>
      <c r="L7" s="1"/>
      <c r="M7" s="1"/>
      <c r="N7" s="1"/>
      <c r="O7" s="1"/>
      <c r="P7" s="58">
        <v>15049</v>
      </c>
      <c r="Q7" s="58">
        <v>16147</v>
      </c>
      <c r="R7" s="58">
        <v>17101</v>
      </c>
      <c r="S7" s="58">
        <v>19135</v>
      </c>
      <c r="T7" s="58">
        <v>24217</v>
      </c>
      <c r="U7" s="57"/>
      <c r="V7" s="1"/>
      <c r="W7" s="1"/>
      <c r="X7" s="1"/>
      <c r="Y7" s="1"/>
      <c r="Z7" s="1"/>
    </row>
    <row r="8" spans="1:26" ht="15.75" customHeight="1">
      <c r="A8" s="39"/>
      <c r="B8" s="33" t="s">
        <v>7</v>
      </c>
      <c r="C8" s="59"/>
      <c r="D8" s="59"/>
      <c r="E8" s="59"/>
      <c r="F8" s="60">
        <f>'Operating Build'!F8</f>
        <v>23518</v>
      </c>
      <c r="G8" s="60">
        <f>'Operating Build'!G8</f>
        <v>29060.6</v>
      </c>
      <c r="H8" s="61">
        <f>'Operating Build'!H8</f>
        <v>32250.3</v>
      </c>
      <c r="I8" s="60">
        <f ca="1">'Operating Build'!I8</f>
        <v>33912.126887899998</v>
      </c>
      <c r="J8" s="60">
        <f ca="1">'Operating Build'!J8</f>
        <v>37784.003220026301</v>
      </c>
      <c r="K8" s="60">
        <f ca="1">'Operating Build'!K8</f>
        <v>42025.633271305356</v>
      </c>
      <c r="L8" s="60">
        <f ca="1">'Operating Build'!L8</f>
        <v>46724.906745416694</v>
      </c>
      <c r="M8" s="61">
        <f ca="1">'Operating Build'!M8</f>
        <v>51883.948071945917</v>
      </c>
      <c r="N8" s="39"/>
      <c r="O8" s="39"/>
      <c r="P8" s="62"/>
      <c r="Q8" s="62"/>
      <c r="R8" s="62"/>
      <c r="S8" s="62"/>
      <c r="T8" s="62"/>
      <c r="U8" s="62"/>
      <c r="V8" s="39"/>
      <c r="W8" s="39"/>
      <c r="X8" s="39"/>
      <c r="Y8" s="39"/>
      <c r="Z8" s="39"/>
    </row>
    <row r="9" spans="1:26" ht="15.75" customHeight="1">
      <c r="A9" s="10"/>
      <c r="B9" s="36" t="s">
        <v>31</v>
      </c>
      <c r="C9" s="63"/>
      <c r="D9" s="63"/>
      <c r="E9" s="63"/>
      <c r="F9" s="63"/>
      <c r="G9" s="64">
        <f t="shared" ref="G9:M9" si="2">G8/F8-1</f>
        <v>0.23567480227910531</v>
      </c>
      <c r="H9" s="65">
        <f t="shared" si="2"/>
        <v>0.10976029400631782</v>
      </c>
      <c r="I9" s="64">
        <f t="shared" ca="1" si="2"/>
        <v>5.1529036564000874E-2</v>
      </c>
      <c r="J9" s="64">
        <f t="shared" ca="1" si="2"/>
        <v>0.11417379820868168</v>
      </c>
      <c r="K9" s="64">
        <f t="shared" ca="1" si="2"/>
        <v>0.11225994309228993</v>
      </c>
      <c r="L9" s="64">
        <f t="shared" ca="1" si="2"/>
        <v>0.11181921861294009</v>
      </c>
      <c r="M9" s="65">
        <f t="shared" ca="1" si="2"/>
        <v>0.11041308984603337</v>
      </c>
      <c r="N9" s="10"/>
      <c r="O9" s="10"/>
      <c r="P9" s="66"/>
      <c r="Q9" s="66"/>
      <c r="R9" s="66"/>
      <c r="S9" s="66"/>
      <c r="T9" s="66"/>
      <c r="U9" s="66"/>
      <c r="V9" s="10"/>
      <c r="W9" s="10"/>
      <c r="X9" s="10"/>
      <c r="Y9" s="10"/>
      <c r="Z9" s="10"/>
    </row>
    <row r="10" spans="1:26" ht="15.75" customHeight="1">
      <c r="A10" s="1"/>
      <c r="B10" s="1"/>
      <c r="C10" s="1"/>
      <c r="D10" s="1"/>
      <c r="E10" s="1"/>
      <c r="F10" s="1"/>
      <c r="G10" s="1"/>
      <c r="H10" s="6"/>
      <c r="I10" s="1"/>
      <c r="J10" s="1"/>
      <c r="K10" s="1"/>
      <c r="L10" s="1"/>
      <c r="M10" s="1"/>
      <c r="N10" s="1"/>
      <c r="O10" s="1"/>
      <c r="P10" s="57">
        <f>11450.3/35931</f>
        <v>0.31867468202944532</v>
      </c>
      <c r="Q10" s="57"/>
      <c r="R10" s="57"/>
      <c r="S10" s="57"/>
      <c r="T10" s="57"/>
      <c r="U10" s="57"/>
      <c r="V10" s="1"/>
      <c r="W10" s="1"/>
      <c r="X10" s="1"/>
      <c r="Y10" s="1"/>
      <c r="Z10" s="1"/>
    </row>
    <row r="11" spans="1:26" ht="15.75" customHeight="1">
      <c r="A11" s="1"/>
      <c r="B11" s="251" t="s">
        <v>47</v>
      </c>
      <c r="C11" s="232"/>
      <c r="D11" s="232"/>
      <c r="E11" s="232"/>
      <c r="F11" s="67">
        <f>'Operating Build'!F9*-1</f>
        <v>7694.9</v>
      </c>
      <c r="G11" s="67">
        <f>'Operating Build'!G9*-1</f>
        <v>8738.7000000000007</v>
      </c>
      <c r="H11" s="68">
        <f>'Operating Build'!H9*-1</f>
        <v>10317.4</v>
      </c>
      <c r="I11" s="67">
        <f t="shared" ref="I11:M11" ca="1" si="3">I12*I$8</f>
        <v>10682.3199696885</v>
      </c>
      <c r="J11" s="67">
        <f t="shared" ca="1" si="3"/>
        <v>11335.200966007889</v>
      </c>
      <c r="K11" s="67">
        <f t="shared" ca="1" si="3"/>
        <v>12607.689981391606</v>
      </c>
      <c r="L11" s="67">
        <f t="shared" ca="1" si="3"/>
        <v>14556.284414035204</v>
      </c>
      <c r="M11" s="67">
        <f t="shared" ca="1" si="3"/>
        <v>16084.209858869141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43" t="s">
        <v>48</v>
      </c>
      <c r="C12" s="232"/>
      <c r="D12" s="232"/>
      <c r="E12" s="232"/>
      <c r="F12" s="69">
        <f>F11/'Operating Build'!F$8</f>
        <v>0.3271919380899736</v>
      </c>
      <c r="G12" s="69">
        <f>G11/'Operating Build'!G$8</f>
        <v>0.30070611067906378</v>
      </c>
      <c r="H12" s="70">
        <f>H11/'Operating Build'!H$8</f>
        <v>0.31991640387841352</v>
      </c>
      <c r="I12" s="69">
        <f ca="1">OFFSET(I12,Cover!$F$18,0)</f>
        <v>0.315</v>
      </c>
      <c r="J12" s="69">
        <f ca="1">OFFSET(J12,Cover!$F$18,0)</f>
        <v>0.3</v>
      </c>
      <c r="K12" s="69">
        <f ca="1">OFFSET(K12,Cover!$F$18,0)</f>
        <v>0.3</v>
      </c>
      <c r="L12" s="69">
        <f ca="1">OFFSET(L12,Cover!$F$18,0)</f>
        <v>0.31153158835278039</v>
      </c>
      <c r="M12" s="69">
        <f ca="1">OFFSET(M12,Cover!$F$18,0)</f>
        <v>0.31000358408665524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244" t="s">
        <v>34</v>
      </c>
      <c r="C13" s="232"/>
      <c r="D13" s="232"/>
      <c r="E13" s="232"/>
      <c r="F13" s="71"/>
      <c r="G13" s="71"/>
      <c r="H13" s="6"/>
      <c r="I13" s="72">
        <v>0.315</v>
      </c>
      <c r="J13" s="72">
        <v>0.3</v>
      </c>
      <c r="K13" s="72">
        <v>0.3</v>
      </c>
      <c r="L13" s="72">
        <f t="shared" ref="L13:L15" si="4">14818/47565</f>
        <v>0.31153158835278039</v>
      </c>
      <c r="M13" s="72">
        <f t="shared" ref="M13:M15" si="5">15569/50222</f>
        <v>0.31000358408665524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44" t="s">
        <v>49</v>
      </c>
      <c r="C14" s="232"/>
      <c r="D14" s="232"/>
      <c r="E14" s="232"/>
      <c r="F14" s="71"/>
      <c r="G14" s="71"/>
      <c r="H14" s="6"/>
      <c r="I14" s="72">
        <v>0.315</v>
      </c>
      <c r="J14" s="72">
        <v>0.3</v>
      </c>
      <c r="K14" s="72">
        <v>0.3</v>
      </c>
      <c r="L14" s="72">
        <f t="shared" si="4"/>
        <v>0.31153158835278039</v>
      </c>
      <c r="M14" s="72">
        <f t="shared" si="5"/>
        <v>0.31000358408665524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44" t="s">
        <v>36</v>
      </c>
      <c r="C15" s="232"/>
      <c r="D15" s="232"/>
      <c r="E15" s="232"/>
      <c r="F15" s="71"/>
      <c r="G15" s="71"/>
      <c r="H15" s="6"/>
      <c r="I15" s="72">
        <v>0.315</v>
      </c>
      <c r="J15" s="72">
        <v>0.3</v>
      </c>
      <c r="K15" s="72">
        <v>0.3</v>
      </c>
      <c r="L15" s="72">
        <f t="shared" si="4"/>
        <v>0.31153158835278039</v>
      </c>
      <c r="M15" s="72">
        <f t="shared" si="5"/>
        <v>0.31000358408665524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31"/>
      <c r="C16" s="232"/>
      <c r="D16" s="232"/>
      <c r="E16" s="232"/>
      <c r="F16" s="1"/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51" t="s">
        <v>9</v>
      </c>
      <c r="C17" s="232"/>
      <c r="D17" s="232"/>
      <c r="E17" s="232"/>
      <c r="F17" s="67">
        <f>'Operating Build'!F10*-1</f>
        <v>10764</v>
      </c>
      <c r="G17" s="67">
        <f>'Operating Build'!G10*-1</f>
        <v>11930.9</v>
      </c>
      <c r="H17" s="68">
        <f>'Operating Build'!H10*-1</f>
        <v>13561.8</v>
      </c>
      <c r="I17" s="67">
        <f t="shared" ref="I17:M17" ca="1" si="6">I18*I$8</f>
        <v>13463.114374496299</v>
      </c>
      <c r="J17" s="67">
        <f t="shared" ca="1" si="6"/>
        <v>15491.441320210783</v>
      </c>
      <c r="K17" s="67">
        <f t="shared" ca="1" si="6"/>
        <v>17457.630999014422</v>
      </c>
      <c r="L17" s="67">
        <f t="shared" ca="1" si="6"/>
        <v>18976.80539278797</v>
      </c>
      <c r="M17" s="67">
        <f t="shared" ca="1" si="6"/>
        <v>20770.315319709942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43" t="s">
        <v>48</v>
      </c>
      <c r="C18" s="232"/>
      <c r="D18" s="232"/>
      <c r="E18" s="232"/>
      <c r="F18" s="69">
        <f>F17/'Operating Build'!F$8</f>
        <v>0.45769198061059613</v>
      </c>
      <c r="G18" s="69">
        <f>G17/'Operating Build'!G$8</f>
        <v>0.41055243181489715</v>
      </c>
      <c r="H18" s="70">
        <f>H17/'Operating Build'!H$8</f>
        <v>0.42051701844634004</v>
      </c>
      <c r="I18" s="69">
        <f ca="1">OFFSET(I18,Cover!$F$18,0)</f>
        <v>0.39700000000000002</v>
      </c>
      <c r="J18" s="69">
        <f ca="1">OFFSET(J18,Cover!$F$18,0)</f>
        <v>0.41</v>
      </c>
      <c r="K18" s="69">
        <f ca="1">OFFSET(K18,Cover!$F$18,0)</f>
        <v>0.41540435301267192</v>
      </c>
      <c r="L18" s="69">
        <f ca="1">OFFSET(L18,Cover!$F$18,0)</f>
        <v>0.40613896772837171</v>
      </c>
      <c r="M18" s="69">
        <f ca="1">OFFSET(M18,Cover!$F$18,0)</f>
        <v>0.40032256779897257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44" t="s">
        <v>34</v>
      </c>
      <c r="C19" s="232"/>
      <c r="D19" s="232"/>
      <c r="E19" s="232"/>
      <c r="F19" s="71"/>
      <c r="G19" s="71"/>
      <c r="H19" s="6"/>
      <c r="I19" s="72">
        <v>0.39700000000000002</v>
      </c>
      <c r="J19" s="72">
        <v>0.41</v>
      </c>
      <c r="K19" s="72">
        <f t="shared" ref="K19:K21" si="7">18456/44429</f>
        <v>0.41540435301267192</v>
      </c>
      <c r="L19" s="72">
        <f t="shared" ref="L19:L21" si="8">19318/47565</f>
        <v>0.40613896772837171</v>
      </c>
      <c r="M19" s="72">
        <f t="shared" ref="M19:M21" si="9">20105/50222</f>
        <v>0.40032256779897257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44" t="s">
        <v>49</v>
      </c>
      <c r="C20" s="232"/>
      <c r="D20" s="232"/>
      <c r="E20" s="232"/>
      <c r="F20" s="71"/>
      <c r="G20" s="71"/>
      <c r="H20" s="6"/>
      <c r="I20" s="72">
        <v>0.39700000000000002</v>
      </c>
      <c r="J20" s="72">
        <v>0.41</v>
      </c>
      <c r="K20" s="72">
        <f t="shared" si="7"/>
        <v>0.41540435301267192</v>
      </c>
      <c r="L20" s="72">
        <f t="shared" si="8"/>
        <v>0.40613896772837171</v>
      </c>
      <c r="M20" s="72">
        <f t="shared" si="9"/>
        <v>0.40032256779897257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44" t="s">
        <v>36</v>
      </c>
      <c r="C21" s="232"/>
      <c r="D21" s="232"/>
      <c r="E21" s="232"/>
      <c r="F21" s="71"/>
      <c r="G21" s="71"/>
      <c r="H21" s="6"/>
      <c r="I21" s="72">
        <v>0.39700000000000002</v>
      </c>
      <c r="J21" s="72">
        <v>0.41</v>
      </c>
      <c r="K21" s="72">
        <f t="shared" si="7"/>
        <v>0.41540435301267192</v>
      </c>
      <c r="L21" s="72">
        <f t="shared" si="8"/>
        <v>0.40613896772837171</v>
      </c>
      <c r="M21" s="72">
        <f t="shared" si="9"/>
        <v>0.40032256779897257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31"/>
      <c r="C22" s="232"/>
      <c r="D22" s="232"/>
      <c r="E22" s="232"/>
      <c r="F22" s="1"/>
      <c r="G22" s="1"/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51" t="s">
        <v>10</v>
      </c>
      <c r="C23" s="232"/>
      <c r="D23" s="232"/>
      <c r="E23" s="232"/>
      <c r="F23" s="67">
        <f>'Operating Build'!F11*-1</f>
        <v>430.3</v>
      </c>
      <c r="G23" s="67">
        <f>'Operating Build'!G11*-1</f>
        <v>359.5</v>
      </c>
      <c r="H23" s="68">
        <f>'Operating Build'!H11*-1</f>
        <v>461.5</v>
      </c>
      <c r="I23" s="67">
        <f t="shared" ref="I23:M23" ca="1" si="10">I24*I$8</f>
        <v>487.95106178632096</v>
      </c>
      <c r="J23" s="67">
        <f t="shared" ca="1" si="10"/>
        <v>545.58675905020766</v>
      </c>
      <c r="K23" s="67">
        <f t="shared" ca="1" si="10"/>
        <v>612.00082663428316</v>
      </c>
      <c r="L23" s="67">
        <f t="shared" ca="1" si="10"/>
        <v>713.17738457211226</v>
      </c>
      <c r="M23" s="67">
        <f t="shared" ca="1" si="10"/>
        <v>864.69803146467154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43" t="s">
        <v>48</v>
      </c>
      <c r="C24" s="232"/>
      <c r="D24" s="232"/>
      <c r="E24" s="232"/>
      <c r="F24" s="69">
        <f>F23/'Operating Build'!F$8</f>
        <v>1.8296623862573348E-2</v>
      </c>
      <c r="G24" s="69">
        <f>G23/'Operating Build'!G$8</f>
        <v>1.2370701224338108E-2</v>
      </c>
      <c r="H24" s="70">
        <f>H23/'Operating Build'!H$8</f>
        <v>1.4309944403617951E-2</v>
      </c>
      <c r="I24" s="69">
        <f ca="1">OFFSET(I24,Cover!$F$18,0)</f>
        <v>1.4388689432523447E-2</v>
      </c>
      <c r="J24" s="69">
        <f ca="1">OFFSET(J24,Cover!$F$18,0)</f>
        <v>1.44396229238366E-2</v>
      </c>
      <c r="K24" s="69">
        <f ca="1">OFFSET(K24,Cover!$F$18,0)</f>
        <v>1.4562560489770195E-2</v>
      </c>
      <c r="L24" s="69">
        <f ca="1">OFFSET(L24,Cover!$F$18,0)</f>
        <v>1.5263323872595396E-2</v>
      </c>
      <c r="M24" s="69">
        <f ca="1">OFFSET(M24,Cover!$F$18,0)</f>
        <v>1.6666002946915694E-2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44" t="s">
        <v>34</v>
      </c>
      <c r="C25" s="232"/>
      <c r="D25" s="232"/>
      <c r="E25" s="232"/>
      <c r="F25" s="71"/>
      <c r="G25" s="71"/>
      <c r="H25" s="6"/>
      <c r="I25" s="72">
        <f t="shared" ref="I25:I27" si="11">517/35931</f>
        <v>1.4388689432523447E-2</v>
      </c>
      <c r="J25" s="72">
        <f t="shared" ref="J25:J27" si="12">579/40098</f>
        <v>1.44396229238366E-2</v>
      </c>
      <c r="K25" s="72">
        <f t="shared" ref="K25:K27" si="13">647/44429</f>
        <v>1.4562560489770195E-2</v>
      </c>
      <c r="L25" s="72">
        <f t="shared" ref="L25:L27" si="14">726/47565</f>
        <v>1.5263323872595396E-2</v>
      </c>
      <c r="M25" s="72">
        <f t="shared" ref="M25:M27" si="15">837/50222</f>
        <v>1.6666002946915694E-2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44" t="s">
        <v>49</v>
      </c>
      <c r="C26" s="232"/>
      <c r="D26" s="232"/>
      <c r="E26" s="232"/>
      <c r="F26" s="71"/>
      <c r="G26" s="71"/>
      <c r="H26" s="6"/>
      <c r="I26" s="72">
        <f t="shared" si="11"/>
        <v>1.4388689432523447E-2</v>
      </c>
      <c r="J26" s="72">
        <f t="shared" si="12"/>
        <v>1.44396229238366E-2</v>
      </c>
      <c r="K26" s="72">
        <f t="shared" si="13"/>
        <v>1.4562560489770195E-2</v>
      </c>
      <c r="L26" s="72">
        <f t="shared" si="14"/>
        <v>1.5263323872595396E-2</v>
      </c>
      <c r="M26" s="72">
        <f t="shared" si="15"/>
        <v>1.6666002946915694E-2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44" t="s">
        <v>36</v>
      </c>
      <c r="C27" s="232"/>
      <c r="D27" s="232"/>
      <c r="E27" s="232"/>
      <c r="F27" s="71"/>
      <c r="G27" s="71"/>
      <c r="H27" s="6"/>
      <c r="I27" s="72">
        <f t="shared" si="11"/>
        <v>1.4388689432523447E-2</v>
      </c>
      <c r="J27" s="72">
        <f t="shared" si="12"/>
        <v>1.44396229238366E-2</v>
      </c>
      <c r="K27" s="72">
        <f t="shared" si="13"/>
        <v>1.4562560489770195E-2</v>
      </c>
      <c r="L27" s="72">
        <f t="shared" si="14"/>
        <v>1.5263323872595396E-2</v>
      </c>
      <c r="M27" s="72">
        <f t="shared" si="15"/>
        <v>1.6666002946915694E-2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31"/>
      <c r="C28" s="232"/>
      <c r="D28" s="232"/>
      <c r="E28" s="232"/>
      <c r="F28" s="1"/>
      <c r="G28" s="1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51" t="s">
        <v>50</v>
      </c>
      <c r="C29" s="232"/>
      <c r="D29" s="232"/>
      <c r="E29" s="232"/>
      <c r="F29" s="67">
        <f>'Operating Build'!F12*-1</f>
        <v>1431.3</v>
      </c>
      <c r="G29" s="67">
        <f>'Operating Build'!G12*-1</f>
        <v>1441.7</v>
      </c>
      <c r="H29" s="68">
        <f>'Operating Build'!H12*-1</f>
        <v>1447.9</v>
      </c>
      <c r="I29" s="67">
        <f t="shared" ref="I29:M29" ca="1" si="16">I30*I$8</f>
        <v>1309.7286043343861</v>
      </c>
      <c r="J29" s="67">
        <f t="shared" ca="1" si="16"/>
        <v>1422.8601142760165</v>
      </c>
      <c r="K29" s="67">
        <f t="shared" ca="1" si="16"/>
        <v>1588.1752518067408</v>
      </c>
      <c r="L29" s="67">
        <f t="shared" ca="1" si="16"/>
        <v>1830.0956852036436</v>
      </c>
      <c r="M29" s="67">
        <f t="shared" ca="1" si="16"/>
        <v>2004.1985436576615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43" t="s">
        <v>48</v>
      </c>
      <c r="C30" s="232"/>
      <c r="D30" s="232"/>
      <c r="E30" s="232"/>
      <c r="F30" s="69">
        <f>F29/'Operating Build'!F$8</f>
        <v>6.0859766986988688E-2</v>
      </c>
      <c r="G30" s="69">
        <f>G29/'Operating Build'!G$8</f>
        <v>4.9610125049035468E-2</v>
      </c>
      <c r="H30" s="70">
        <f>H29/'Operating Build'!H$8</f>
        <v>4.489570639652965E-2</v>
      </c>
      <c r="I30" s="69">
        <f ca="1">OFFSET(I30,Cover!$F$18,0)</f>
        <v>3.8621246277587597E-2</v>
      </c>
      <c r="J30" s="69">
        <f ca="1">OFFSET(J30,Cover!$F$18,0)</f>
        <v>3.7657738540575587E-2</v>
      </c>
      <c r="K30" s="69">
        <f ca="1">OFFSET(K30,Cover!$F$18,0)</f>
        <v>3.7790632244705032E-2</v>
      </c>
      <c r="L30" s="69">
        <f ca="1">OFFSET(L30,Cover!$F$18,0)</f>
        <v>3.9167455061494799E-2</v>
      </c>
      <c r="M30" s="69">
        <f ca="1">OFFSET(M30,Cover!$F$18,0)</f>
        <v>3.8628489506590737E-2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44" t="s">
        <v>34</v>
      </c>
      <c r="C31" s="232"/>
      <c r="D31" s="232"/>
      <c r="E31" s="232"/>
      <c r="F31" s="71"/>
      <c r="G31" s="71"/>
      <c r="H31" s="6"/>
      <c r="I31" s="72">
        <f t="shared" ref="I31:I33" si="17">1387.7/35931</f>
        <v>3.8621246277587597E-2</v>
      </c>
      <c r="J31" s="72">
        <f t="shared" ref="J31:J33" si="18">1510/40098</f>
        <v>3.7657738540575587E-2</v>
      </c>
      <c r="K31" s="72">
        <f t="shared" ref="K31:K33" si="19">1679/44429</f>
        <v>3.7790632244705032E-2</v>
      </c>
      <c r="L31" s="72">
        <f t="shared" ref="L31:L33" si="20">1863/47565</f>
        <v>3.9167455061494799E-2</v>
      </c>
      <c r="M31" s="72">
        <f t="shared" ref="M31:M33" si="21">1940/50222</f>
        <v>3.8628489506590737E-2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44" t="s">
        <v>49</v>
      </c>
      <c r="C32" s="232"/>
      <c r="D32" s="232"/>
      <c r="E32" s="232"/>
      <c r="F32" s="71"/>
      <c r="G32" s="71"/>
      <c r="H32" s="6"/>
      <c r="I32" s="72">
        <f t="shared" si="17"/>
        <v>3.8621246277587597E-2</v>
      </c>
      <c r="J32" s="72">
        <f t="shared" si="18"/>
        <v>3.7657738540575587E-2</v>
      </c>
      <c r="K32" s="72">
        <f t="shared" si="19"/>
        <v>3.7790632244705032E-2</v>
      </c>
      <c r="L32" s="72">
        <f t="shared" si="20"/>
        <v>3.9167455061494799E-2</v>
      </c>
      <c r="M32" s="72">
        <f t="shared" si="21"/>
        <v>3.8628489506590737E-2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44" t="s">
        <v>36</v>
      </c>
      <c r="C33" s="232"/>
      <c r="D33" s="232"/>
      <c r="E33" s="232"/>
      <c r="F33" s="71"/>
      <c r="G33" s="71"/>
      <c r="H33" s="6"/>
      <c r="I33" s="72">
        <f t="shared" si="17"/>
        <v>3.8621246277587597E-2</v>
      </c>
      <c r="J33" s="72">
        <f t="shared" si="18"/>
        <v>3.7657738540575587E-2</v>
      </c>
      <c r="K33" s="72">
        <f t="shared" si="19"/>
        <v>3.7790632244705032E-2</v>
      </c>
      <c r="L33" s="72">
        <f t="shared" si="20"/>
        <v>3.9167455061494799E-2</v>
      </c>
      <c r="M33" s="72">
        <f t="shared" si="21"/>
        <v>3.8628489506590737E-2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31"/>
      <c r="C34" s="232"/>
      <c r="D34" s="232"/>
      <c r="E34" s="232"/>
      <c r="F34" s="1"/>
      <c r="G34" s="1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51" t="s">
        <v>51</v>
      </c>
      <c r="C35" s="232"/>
      <c r="D35" s="232"/>
      <c r="E35" s="232"/>
      <c r="F35" s="67">
        <f>'Operating Build'!F13*-1</f>
        <v>1679.6</v>
      </c>
      <c r="G35" s="67">
        <f>'Operating Build'!G13*-1</f>
        <v>1932.6</v>
      </c>
      <c r="H35" s="68">
        <f>'Operating Build'!H13*-1</f>
        <v>2032</v>
      </c>
      <c r="I35" s="67">
        <f t="shared" ref="I35:M35" ca="1" si="22">I36*I$8</f>
        <v>2137.7353093733404</v>
      </c>
      <c r="J35" s="67">
        <f t="shared" ca="1" si="22"/>
        <v>2291.0874714243091</v>
      </c>
      <c r="K35" s="67">
        <f t="shared" ca="1" si="22"/>
        <v>2545.4315679642286</v>
      </c>
      <c r="L35" s="67">
        <f t="shared" ca="1" si="22"/>
        <v>2685.7120790911226</v>
      </c>
      <c r="M35" s="67">
        <f t="shared" ca="1" si="22"/>
        <v>2798.6463168910336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43" t="s">
        <v>48</v>
      </c>
      <c r="C36" s="232"/>
      <c r="D36" s="232"/>
      <c r="E36" s="232"/>
      <c r="F36" s="69">
        <f>F35/'Operating Build'!F$8</f>
        <v>7.1417637554213792E-2</v>
      </c>
      <c r="G36" s="69">
        <f>G35/'Operating Build'!G$8</f>
        <v>6.6502412200711611E-2</v>
      </c>
      <c r="H36" s="70">
        <f>H35/'Operating Build'!H$8</f>
        <v>6.300716582481404E-2</v>
      </c>
      <c r="I36" s="69">
        <f ca="1">OFFSET(I36,Cover!$F$18,0)</f>
        <v>6.3037488519662691E-2</v>
      </c>
      <c r="J36" s="69">
        <f ca="1">OFFSET(J36,Cover!$F$18,0)</f>
        <v>6.0636440720235427E-2</v>
      </c>
      <c r="K36" s="69">
        <f ca="1">OFFSET(K36,Cover!$F$18,0)</f>
        <v>6.056854757028067E-2</v>
      </c>
      <c r="L36" s="69">
        <f ca="1">OFFSET(L36,Cover!$F$18,0)</f>
        <v>5.7479238936192577E-2</v>
      </c>
      <c r="M36" s="69">
        <f ca="1">OFFSET(M36,Cover!$F$18,0)</f>
        <v>5.3940504161522837E-2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44" t="s">
        <v>34</v>
      </c>
      <c r="C37" s="232"/>
      <c r="D37" s="232"/>
      <c r="E37" s="232"/>
      <c r="F37" s="71"/>
      <c r="G37" s="71"/>
      <c r="H37" s="6"/>
      <c r="I37" s="72">
        <f t="shared" ref="I37:I39" si="23">2265/35931</f>
        <v>6.3037488519662691E-2</v>
      </c>
      <c r="J37" s="72">
        <f t="shared" ref="J37:J39" si="24">2431.4/40098</f>
        <v>6.0636440720235427E-2</v>
      </c>
      <c r="K37" s="72">
        <f t="shared" ref="K37:K39" si="25">2691/44429</f>
        <v>6.056854757028067E-2</v>
      </c>
      <c r="L37" s="72">
        <f t="shared" ref="L37:L39" si="26">2734/47565</f>
        <v>5.7479238936192577E-2</v>
      </c>
      <c r="M37" s="72">
        <f t="shared" ref="M37:M39" si="27">2709/50222</f>
        <v>5.3940504161522837E-2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44" t="s">
        <v>49</v>
      </c>
      <c r="C38" s="232"/>
      <c r="D38" s="232"/>
      <c r="E38" s="232"/>
      <c r="F38" s="71"/>
      <c r="G38" s="71"/>
      <c r="H38" s="6"/>
      <c r="I38" s="72">
        <f t="shared" si="23"/>
        <v>6.3037488519662691E-2</v>
      </c>
      <c r="J38" s="72">
        <f t="shared" si="24"/>
        <v>6.0636440720235427E-2</v>
      </c>
      <c r="K38" s="72">
        <f t="shared" si="25"/>
        <v>6.056854757028067E-2</v>
      </c>
      <c r="L38" s="72">
        <f t="shared" si="26"/>
        <v>5.7479238936192577E-2</v>
      </c>
      <c r="M38" s="72">
        <f t="shared" si="27"/>
        <v>5.3940504161522837E-2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44" t="s">
        <v>36</v>
      </c>
      <c r="C39" s="232"/>
      <c r="D39" s="232"/>
      <c r="E39" s="232"/>
      <c r="F39" s="71"/>
      <c r="G39" s="71"/>
      <c r="H39" s="6"/>
      <c r="I39" s="72">
        <f t="shared" si="23"/>
        <v>6.3037488519662691E-2</v>
      </c>
      <c r="J39" s="72">
        <f t="shared" si="24"/>
        <v>6.0636440720235427E-2</v>
      </c>
      <c r="K39" s="72">
        <f t="shared" si="25"/>
        <v>6.056854757028067E-2</v>
      </c>
      <c r="L39" s="72">
        <f t="shared" si="26"/>
        <v>5.7479238936192577E-2</v>
      </c>
      <c r="M39" s="72">
        <f t="shared" si="27"/>
        <v>5.3940504161522837E-2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51" t="s">
        <v>16</v>
      </c>
      <c r="C41" s="232"/>
      <c r="D41" s="232"/>
      <c r="E41" s="232"/>
      <c r="F41" s="67">
        <f>'Operating Build'!F17*-1</f>
        <v>437</v>
      </c>
      <c r="G41" s="67">
        <f>'Operating Build'!G17*-1</f>
        <v>469.8</v>
      </c>
      <c r="H41" s="68">
        <f>'Operating Build'!H17*-1</f>
        <v>482</v>
      </c>
      <c r="I41" s="67">
        <f t="shared" ref="I41:M41" ca="1" si="28">I42*I$8</f>
        <v>450.19856184153792</v>
      </c>
      <c r="J41" s="67">
        <f t="shared" ca="1" si="28"/>
        <v>571.97092010963058</v>
      </c>
      <c r="K41" s="67">
        <f t="shared" ca="1" si="28"/>
        <v>646.99932831197782</v>
      </c>
      <c r="L41" s="67">
        <f t="shared" ca="1" si="28"/>
        <v>778.20815985954187</v>
      </c>
      <c r="M41" s="67">
        <f t="shared" ca="1" si="28"/>
        <v>892.28158874078474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43" t="s">
        <v>48</v>
      </c>
      <c r="C42" s="232"/>
      <c r="D42" s="232"/>
      <c r="E42" s="232"/>
      <c r="F42" s="69">
        <f>F41/'Operating Build'!F$8</f>
        <v>1.8581512033336169E-2</v>
      </c>
      <c r="G42" s="69">
        <f>G41/'Operating Build'!G$8</f>
        <v>1.6166218178564794E-2</v>
      </c>
      <c r="H42" s="70">
        <f>H41/'Operating Build'!H$8</f>
        <v>1.4945597405295455E-2</v>
      </c>
      <c r="I42" s="69">
        <f ca="1">OFFSET(I42,Cover!$F$18,0)</f>
        <v>1.3275444602154129E-2</v>
      </c>
      <c r="J42" s="69">
        <f ca="1">OFFSET(J42,Cover!$F$18,0)</f>
        <v>1.5137912115317472E-2</v>
      </c>
      <c r="K42" s="69">
        <f ca="1">OFFSET(K42,Cover!$F$18,0)</f>
        <v>1.539534988408472E-2</v>
      </c>
      <c r="L42" s="69">
        <f ca="1">OFFSET(L42,Cover!$F$18,0)</f>
        <v>1.6655103542520762E-2</v>
      </c>
      <c r="M42" s="69">
        <f ca="1">OFFSET(M42,Cover!$F$18,0)</f>
        <v>1.7197642467444547E-2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44" t="s">
        <v>34</v>
      </c>
      <c r="C43" s="232"/>
      <c r="D43" s="232"/>
      <c r="E43" s="232"/>
      <c r="F43" s="71"/>
      <c r="G43" s="71"/>
      <c r="H43" s="6"/>
      <c r="I43" s="72">
        <f t="shared" ref="I43:I45" si="29">477/35931</f>
        <v>1.3275444602154129E-2</v>
      </c>
      <c r="J43" s="72">
        <f t="shared" ref="J43:J45" si="30">607/40098</f>
        <v>1.5137912115317472E-2</v>
      </c>
      <c r="K43" s="72">
        <f t="shared" ref="K43:K45" si="31">684/44429</f>
        <v>1.539534988408472E-2</v>
      </c>
      <c r="L43" s="72">
        <f t="shared" ref="L43:L45" si="32">792.2/47565</f>
        <v>1.6655103542520762E-2</v>
      </c>
      <c r="M43" s="72">
        <f t="shared" ref="M43:M45" si="33">863.7/50222</f>
        <v>1.7197642467444547E-2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44" t="s">
        <v>49</v>
      </c>
      <c r="C44" s="232"/>
      <c r="D44" s="232"/>
      <c r="E44" s="232"/>
      <c r="F44" s="71"/>
      <c r="G44" s="71"/>
      <c r="H44" s="6"/>
      <c r="I44" s="72">
        <f t="shared" si="29"/>
        <v>1.3275444602154129E-2</v>
      </c>
      <c r="J44" s="72">
        <f t="shared" si="30"/>
        <v>1.5137912115317472E-2</v>
      </c>
      <c r="K44" s="72">
        <f t="shared" si="31"/>
        <v>1.539534988408472E-2</v>
      </c>
      <c r="L44" s="72">
        <f t="shared" si="32"/>
        <v>1.6655103542520762E-2</v>
      </c>
      <c r="M44" s="72">
        <f t="shared" si="33"/>
        <v>1.7197642467444547E-2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44" t="s">
        <v>36</v>
      </c>
      <c r="C45" s="232"/>
      <c r="D45" s="232"/>
      <c r="E45" s="232"/>
      <c r="F45" s="71"/>
      <c r="G45" s="71"/>
      <c r="H45" s="6"/>
      <c r="I45" s="72">
        <f t="shared" si="29"/>
        <v>1.3275444602154129E-2</v>
      </c>
      <c r="J45" s="72">
        <f t="shared" si="30"/>
        <v>1.5137912115317472E-2</v>
      </c>
      <c r="K45" s="72">
        <f t="shared" si="31"/>
        <v>1.539534988408472E-2</v>
      </c>
      <c r="L45" s="72">
        <f t="shared" si="32"/>
        <v>1.6655103542520762E-2</v>
      </c>
      <c r="M45" s="72">
        <f t="shared" si="33"/>
        <v>1.7197642467444547E-2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51" t="s">
        <v>17</v>
      </c>
      <c r="C47" s="232"/>
      <c r="D47" s="232"/>
      <c r="E47" s="232"/>
      <c r="F47" s="67">
        <f>'Operating Build'!F18</f>
        <v>39.700000000000003</v>
      </c>
      <c r="G47" s="67">
        <f>'Operating Build'!G18</f>
        <v>90.1</v>
      </c>
      <c r="H47" s="68">
        <f>'Operating Build'!H18</f>
        <v>97</v>
      </c>
      <c r="I47" s="67">
        <f t="shared" ref="I47:M47" ca="1" si="34">I48*I$8</f>
        <v>43.604137436224427</v>
      </c>
      <c r="J47" s="67">
        <f t="shared" ca="1" si="34"/>
        <v>54.087530171816795</v>
      </c>
      <c r="K47" s="67">
        <f t="shared" ca="1" si="34"/>
        <v>45.025099455628869</v>
      </c>
      <c r="L47" s="67">
        <f t="shared" ca="1" si="34"/>
        <v>27.210762469211446</v>
      </c>
      <c r="M47" s="67">
        <f t="shared" ca="1" si="34"/>
        <v>39.257497246902652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43" t="s">
        <v>48</v>
      </c>
      <c r="C48" s="232"/>
      <c r="D48" s="232"/>
      <c r="E48" s="232"/>
      <c r="F48" s="69">
        <f>F47/'Operating Build'!F$8</f>
        <v>1.6880687133259632E-3</v>
      </c>
      <c r="G48" s="69">
        <f>G47/'Operating Build'!G$8</f>
        <v>3.1004177477409276E-3</v>
      </c>
      <c r="H48" s="70">
        <f>H47/'Operating Build'!H$8</f>
        <v>3.007723959156969E-3</v>
      </c>
      <c r="I48" s="69">
        <f ca="1">OFFSET(I48,Cover!$F$18,0)</f>
        <v>1.2857977790765634E-3</v>
      </c>
      <c r="J48" s="69">
        <f ca="1">OFFSET(J48,Cover!$F$18,0)</f>
        <v>1.4314928425357874E-3</v>
      </c>
      <c r="K48" s="69">
        <f ca="1">OFFSET(K48,Cover!$F$18,0)</f>
        <v>1.0713723018749015E-3</v>
      </c>
      <c r="L48" s="69">
        <f ca="1">OFFSET(L48,Cover!$F$18,0)</f>
        <v>5.8236097971197309E-4</v>
      </c>
      <c r="M48" s="69">
        <f ca="1">OFFSET(M48,Cover!$F$18,0)</f>
        <v>7.5664051610847838E-4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44" t="s">
        <v>34</v>
      </c>
      <c r="C49" s="232"/>
      <c r="D49" s="232"/>
      <c r="E49" s="232"/>
      <c r="F49" s="71"/>
      <c r="G49" s="71"/>
      <c r="H49" s="6"/>
      <c r="I49" s="72">
        <f t="shared" ref="I49:I51" si="35">46.2/35931</f>
        <v>1.2857977790765634E-3</v>
      </c>
      <c r="J49" s="72">
        <f t="shared" ref="J49:J51" si="36">57.4/40098</f>
        <v>1.4314928425357874E-3</v>
      </c>
      <c r="K49" s="72">
        <f t="shared" ref="K49:K51" si="37">47.6/44429</f>
        <v>1.0713723018749015E-3</v>
      </c>
      <c r="L49" s="72">
        <f t="shared" ref="L49:L51" si="38">27.7/47565</f>
        <v>5.8236097971197309E-4</v>
      </c>
      <c r="M49" s="72">
        <f t="shared" ref="M49:M51" si="39">38/50222</f>
        <v>7.5664051610847838E-4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44" t="s">
        <v>49</v>
      </c>
      <c r="C50" s="232"/>
      <c r="D50" s="232"/>
      <c r="E50" s="232"/>
      <c r="F50" s="71"/>
      <c r="G50" s="71"/>
      <c r="H50" s="6"/>
      <c r="I50" s="72">
        <f t="shared" si="35"/>
        <v>1.2857977790765634E-3</v>
      </c>
      <c r="J50" s="72">
        <f t="shared" si="36"/>
        <v>1.4314928425357874E-3</v>
      </c>
      <c r="K50" s="72">
        <f t="shared" si="37"/>
        <v>1.0713723018749015E-3</v>
      </c>
      <c r="L50" s="72">
        <f t="shared" si="38"/>
        <v>5.8236097971197309E-4</v>
      </c>
      <c r="M50" s="72">
        <f t="shared" si="39"/>
        <v>7.5664051610847838E-4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44" t="s">
        <v>36</v>
      </c>
      <c r="C51" s="232"/>
      <c r="D51" s="232"/>
      <c r="E51" s="232"/>
      <c r="F51" s="71"/>
      <c r="G51" s="71"/>
      <c r="H51" s="6"/>
      <c r="I51" s="72">
        <f t="shared" si="35"/>
        <v>1.2857977790765634E-3</v>
      </c>
      <c r="J51" s="72">
        <f t="shared" si="36"/>
        <v>1.4314928425357874E-3</v>
      </c>
      <c r="K51" s="72">
        <f t="shared" si="37"/>
        <v>1.0713723018749015E-3</v>
      </c>
      <c r="L51" s="72">
        <f t="shared" si="38"/>
        <v>5.8236097971197309E-4</v>
      </c>
      <c r="M51" s="72">
        <f t="shared" si="39"/>
        <v>7.5664051610847838E-4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51" t="s">
        <v>52</v>
      </c>
      <c r="C53" s="232"/>
      <c r="D53" s="232"/>
      <c r="E53" s="232"/>
      <c r="F53" s="67">
        <f>'Operating Build'!F21*-1</f>
        <v>239.7</v>
      </c>
      <c r="G53" s="67">
        <f>'Operating Build'!G21*-1</f>
        <v>1156.5999999999999</v>
      </c>
      <c r="H53" s="68">
        <f>'Operating Build'!H21*-1</f>
        <v>948.5</v>
      </c>
      <c r="I53" s="67">
        <f ca="1">I54*'Operating Build'!I20</f>
        <v>1306.6922069216025</v>
      </c>
      <c r="J53" s="67">
        <f ca="1">J54*'Operating Build'!J20</f>
        <v>1500.8714136554172</v>
      </c>
      <c r="K53" s="67">
        <f ca="1">K54*'Operating Build'!K20</f>
        <v>1616.6951793854248</v>
      </c>
      <c r="L53" s="67">
        <f ca="1">L54*'Operating Build'!L20</f>
        <v>1784.3380156293033</v>
      </c>
      <c r="M53" s="67">
        <f ca="1">M54*'Operating Build'!M20</f>
        <v>2097.8414244197129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43" t="s">
        <v>53</v>
      </c>
      <c r="C54" s="232"/>
      <c r="D54" s="232"/>
      <c r="E54" s="232"/>
      <c r="F54" s="69">
        <f>F53/'Operating Build'!F20</f>
        <v>0.2058570937822054</v>
      </c>
      <c r="G54" s="69">
        <f>G53/'Operating Build'!G20</f>
        <v>0.21590845451660476</v>
      </c>
      <c r="H54" s="70">
        <f>H53/'Operating Build'!H20</f>
        <v>0.22408334908334893</v>
      </c>
      <c r="I54" s="69">
        <f ca="1">OFFSET(I54,Cover!$F$18,0)</f>
        <v>0.22408334908334893</v>
      </c>
      <c r="J54" s="69">
        <f ca="1">OFFSET(J54,Cover!$F$18,0)</f>
        <v>0.22408334908334893</v>
      </c>
      <c r="K54" s="69">
        <f ca="1">OFFSET(K54,Cover!$F$18,0)</f>
        <v>0.22408334908334893</v>
      </c>
      <c r="L54" s="69">
        <f ca="1">OFFSET(L54,Cover!$F$18,0)</f>
        <v>0.22408334908334893</v>
      </c>
      <c r="M54" s="69">
        <f ca="1">OFFSET(M54,Cover!$F$18,0)</f>
        <v>0.22408334908334893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44" t="s">
        <v>34</v>
      </c>
      <c r="C55" s="232"/>
      <c r="D55" s="232"/>
      <c r="E55" s="232"/>
      <c r="F55" s="71"/>
      <c r="G55" s="71"/>
      <c r="H55" s="6"/>
      <c r="I55" s="72">
        <f t="shared" ref="I55:I57" si="40">$H$54</f>
        <v>0.22408334908334893</v>
      </c>
      <c r="J55" s="72">
        <f t="shared" ref="J55:M55" si="41">I55</f>
        <v>0.22408334908334893</v>
      </c>
      <c r="K55" s="72">
        <f t="shared" si="41"/>
        <v>0.22408334908334893</v>
      </c>
      <c r="L55" s="72">
        <f t="shared" si="41"/>
        <v>0.22408334908334893</v>
      </c>
      <c r="M55" s="72">
        <f t="shared" si="41"/>
        <v>0.22408334908334893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44" t="s">
        <v>49</v>
      </c>
      <c r="C56" s="232"/>
      <c r="D56" s="232"/>
      <c r="E56" s="232"/>
      <c r="F56" s="71"/>
      <c r="G56" s="71"/>
      <c r="H56" s="6"/>
      <c r="I56" s="72">
        <f t="shared" si="40"/>
        <v>0.22408334908334893</v>
      </c>
      <c r="J56" s="72">
        <f t="shared" ref="J56:M56" si="42">$H$54</f>
        <v>0.22408334908334893</v>
      </c>
      <c r="K56" s="72">
        <f t="shared" si="42"/>
        <v>0.22408334908334893</v>
      </c>
      <c r="L56" s="72">
        <f t="shared" si="42"/>
        <v>0.22408334908334893</v>
      </c>
      <c r="M56" s="72">
        <f t="shared" si="42"/>
        <v>0.22408334908334893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44" t="s">
        <v>36</v>
      </c>
      <c r="C57" s="232"/>
      <c r="D57" s="232"/>
      <c r="E57" s="232"/>
      <c r="F57" s="71"/>
      <c r="G57" s="71"/>
      <c r="H57" s="6"/>
      <c r="I57" s="72">
        <f t="shared" si="40"/>
        <v>0.22408334908334893</v>
      </c>
      <c r="J57" s="72">
        <f t="shared" ref="J57:M57" si="43">$H$54</f>
        <v>0.22408334908334893</v>
      </c>
      <c r="K57" s="72">
        <f t="shared" si="43"/>
        <v>0.22408334908334893</v>
      </c>
      <c r="L57" s="72">
        <f t="shared" si="43"/>
        <v>0.22408334908334893</v>
      </c>
      <c r="M57" s="72">
        <f t="shared" si="43"/>
        <v>0.22408334908334893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B3:E4"/>
    <mergeCell ref="B5:E5"/>
    <mergeCell ref="B6:E6"/>
    <mergeCell ref="B7:E7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1:E41"/>
    <mergeCell ref="B42:E42"/>
    <mergeCell ref="B57:E57"/>
    <mergeCell ref="B43:E43"/>
    <mergeCell ref="B44:E44"/>
    <mergeCell ref="B45:E45"/>
    <mergeCell ref="B47:E47"/>
    <mergeCell ref="B48:E48"/>
    <mergeCell ref="B49:E49"/>
    <mergeCell ref="B50:E50"/>
    <mergeCell ref="B51:E51"/>
    <mergeCell ref="B53:E53"/>
    <mergeCell ref="B54:E54"/>
    <mergeCell ref="B55:E55"/>
    <mergeCell ref="B56:E5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16342"/>
  </sheetPr>
  <dimension ref="A1:Z1000"/>
  <sheetViews>
    <sheetView showGridLines="0" workbookViewId="0"/>
  </sheetViews>
  <sheetFormatPr defaultColWidth="14.42578125" defaultRowHeight="15" customHeight="1"/>
  <cols>
    <col min="1" max="1" width="6.7109375" customWidth="1"/>
    <col min="2" max="2" width="80.28515625" customWidth="1"/>
    <col min="3" max="6" width="14.42578125" customWidth="1"/>
    <col min="14" max="14" width="5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66" t="s">
        <v>54</v>
      </c>
      <c r="C2" s="232"/>
      <c r="D2" s="232"/>
      <c r="E2" s="232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232"/>
      <c r="C3" s="232"/>
      <c r="D3" s="232"/>
      <c r="E3" s="232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9"/>
      <c r="B4" s="247" t="s">
        <v>55</v>
      </c>
      <c r="C4" s="248"/>
      <c r="D4" s="248"/>
      <c r="E4" s="249"/>
      <c r="F4" s="29">
        <v>2020</v>
      </c>
      <c r="G4" s="29">
        <f t="shared" ref="G4:M4" si="0">F4+1</f>
        <v>2021</v>
      </c>
      <c r="H4" s="30">
        <f t="shared" si="0"/>
        <v>2022</v>
      </c>
      <c r="I4" s="73">
        <f t="shared" si="0"/>
        <v>2023</v>
      </c>
      <c r="J4" s="74">
        <f t="shared" si="0"/>
        <v>2024</v>
      </c>
      <c r="K4" s="74">
        <f t="shared" si="0"/>
        <v>2025</v>
      </c>
      <c r="L4" s="74">
        <f t="shared" si="0"/>
        <v>2026</v>
      </c>
      <c r="M4" s="74">
        <f t="shared" si="0"/>
        <v>2027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.75" customHeight="1">
      <c r="A5" s="1"/>
      <c r="B5" s="255" t="s">
        <v>6</v>
      </c>
      <c r="C5" s="234"/>
      <c r="D5" s="234"/>
      <c r="E5" s="234"/>
      <c r="F5" s="1"/>
      <c r="G5" s="1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31"/>
      <c r="C6" s="232"/>
      <c r="D6" s="232"/>
      <c r="E6" s="232"/>
      <c r="F6" s="1"/>
      <c r="G6" s="1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44" t="s">
        <v>190</v>
      </c>
      <c r="C7" s="232"/>
      <c r="D7" s="232"/>
      <c r="E7" s="232"/>
      <c r="F7" s="75">
        <v>883.4</v>
      </c>
      <c r="G7" s="75">
        <v>940</v>
      </c>
      <c r="H7" s="16">
        <v>1175.5</v>
      </c>
      <c r="I7" s="17">
        <f t="shared" ref="I7:M7" ca="1" si="1">(I43/I42)*I26</f>
        <v>1179.9561958255615</v>
      </c>
      <c r="J7" s="17">
        <f t="shared" ca="1" si="1"/>
        <v>1314.6762764228329</v>
      </c>
      <c r="K7" s="17">
        <f t="shared" ca="1" si="1"/>
        <v>1462.261760398844</v>
      </c>
      <c r="L7" s="17">
        <f t="shared" ca="1" si="1"/>
        <v>1625.7707278542248</v>
      </c>
      <c r="M7" s="17">
        <f t="shared" ca="1" si="1"/>
        <v>1805.2770972978442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44" t="s">
        <v>56</v>
      </c>
      <c r="C8" s="232"/>
      <c r="D8" s="232"/>
      <c r="E8" s="232"/>
      <c r="F8" s="75">
        <v>281.2</v>
      </c>
      <c r="G8" s="75">
        <v>162.19999999999999</v>
      </c>
      <c r="H8" s="16">
        <v>364.5</v>
      </c>
      <c r="I8" s="17">
        <f t="shared" ref="I8:M8" ca="1" si="2">I30*I26</f>
        <v>383.28233382757833</v>
      </c>
      <c r="J8" s="17">
        <f t="shared" ca="1" si="2"/>
        <v>427.04313366696084</v>
      </c>
      <c r="K8" s="17">
        <f t="shared" ca="1" si="2"/>
        <v>474.98297155036704</v>
      </c>
      <c r="L8" s="17">
        <f t="shared" ca="1" si="2"/>
        <v>528.09519628358134</v>
      </c>
      <c r="M8" s="17">
        <f t="shared" ca="1" si="2"/>
        <v>586.4038186380991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44" t="s">
        <v>190</v>
      </c>
      <c r="C9" s="232"/>
      <c r="D9" s="232"/>
      <c r="E9" s="232"/>
      <c r="F9" s="75">
        <v>1551.4</v>
      </c>
      <c r="G9" s="75">
        <v>1603.9</v>
      </c>
      <c r="H9" s="16">
        <v>2176.6</v>
      </c>
      <c r="I9" s="17">
        <f t="shared" ref="I9:M9" ca="1" si="3">I31*I27</f>
        <v>2253.5849774191165</v>
      </c>
      <c r="J9" s="17">
        <f t="shared" ca="1" si="3"/>
        <v>2391.3193655972213</v>
      </c>
      <c r="K9" s="17">
        <f t="shared" ca="1" si="3"/>
        <v>2659.7687414946568</v>
      </c>
      <c r="L9" s="17">
        <f t="shared" ca="1" si="3"/>
        <v>3070.8520223689134</v>
      </c>
      <c r="M9" s="17">
        <f t="shared" ca="1" si="3"/>
        <v>3393.1892898224914</v>
      </c>
      <c r="N9" s="1"/>
      <c r="O9" s="1"/>
      <c r="P9" s="1">
        <f>9756.4-6455.7</f>
        <v>3300.7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44" t="s">
        <v>190</v>
      </c>
      <c r="C10" s="232"/>
      <c r="D10" s="232"/>
      <c r="E10" s="232"/>
      <c r="F10" s="75">
        <v>739.5</v>
      </c>
      <c r="G10" s="75">
        <v>594.6</v>
      </c>
      <c r="H10" s="16">
        <v>483.7</v>
      </c>
      <c r="I10" s="17">
        <f t="shared" ref="I10:M10" ca="1" si="4">I32*I26</f>
        <v>508.62459498600725</v>
      </c>
      <c r="J10" s="17">
        <f t="shared" ca="1" si="4"/>
        <v>566.69619685791213</v>
      </c>
      <c r="K10" s="17">
        <f t="shared" ca="1" si="4"/>
        <v>630.31347966779845</v>
      </c>
      <c r="L10" s="17">
        <f t="shared" ca="1" si="4"/>
        <v>700.79464044545489</v>
      </c>
      <c r="M10" s="17">
        <f t="shared" ca="1" si="4"/>
        <v>778.17154204457756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44" t="s">
        <v>190</v>
      </c>
      <c r="C11" s="232"/>
      <c r="D11" s="232"/>
      <c r="E11" s="232"/>
      <c r="F11" s="75">
        <v>0</v>
      </c>
      <c r="G11" s="75">
        <v>0</v>
      </c>
      <c r="H11" s="16">
        <v>0</v>
      </c>
      <c r="I11" s="17">
        <f t="shared" ref="I11:M11" ca="1" si="5">I33*I26</f>
        <v>0</v>
      </c>
      <c r="J11" s="17">
        <f t="shared" ca="1" si="5"/>
        <v>0</v>
      </c>
      <c r="K11" s="17">
        <f t="shared" ca="1" si="5"/>
        <v>0</v>
      </c>
      <c r="L11" s="17">
        <f t="shared" ca="1" si="5"/>
        <v>0</v>
      </c>
      <c r="M11" s="17">
        <f t="shared" ca="1" si="5"/>
        <v>0</v>
      </c>
      <c r="N11" s="1"/>
      <c r="O11" s="1"/>
      <c r="P11" s="1">
        <f>7018.7-2818.4</f>
        <v>4200.2999999999993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64" t="s">
        <v>57</v>
      </c>
      <c r="C12" s="238"/>
      <c r="D12" s="238"/>
      <c r="E12" s="239"/>
      <c r="F12" s="11">
        <f t="shared" ref="F12:M12" si="6">SUM(F7:F11)</f>
        <v>3455.5</v>
      </c>
      <c r="G12" s="11">
        <f t="shared" si="6"/>
        <v>3300.7000000000003</v>
      </c>
      <c r="H12" s="12">
        <f t="shared" si="6"/>
        <v>4200.3</v>
      </c>
      <c r="I12" s="11">
        <f t="shared" ca="1" si="6"/>
        <v>4325.4481020582634</v>
      </c>
      <c r="J12" s="11">
        <f t="shared" ca="1" si="6"/>
        <v>4699.7349725449276</v>
      </c>
      <c r="K12" s="11">
        <f t="shared" ca="1" si="6"/>
        <v>5227.3269531116666</v>
      </c>
      <c r="L12" s="11">
        <f t="shared" ca="1" si="6"/>
        <v>5925.5125869521753</v>
      </c>
      <c r="M12" s="11">
        <f t="shared" ca="1" si="6"/>
        <v>6563.0417478030122</v>
      </c>
      <c r="N12" s="1"/>
      <c r="O12" s="1"/>
      <c r="P12" s="1">
        <f>7806.4-4350.9</f>
        <v>3455.5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244" t="s">
        <v>190</v>
      </c>
      <c r="C13" s="232"/>
      <c r="D13" s="232"/>
      <c r="E13" s="232"/>
      <c r="F13" s="75">
        <v>997.9</v>
      </c>
      <c r="G13" s="75">
        <v>1211.5999999999999</v>
      </c>
      <c r="H13" s="16">
        <v>1441.4</v>
      </c>
      <c r="I13" s="17">
        <f t="shared" ref="I13:M13" ca="1" si="7">I28*I44/I42</f>
        <v>583.65544644583792</v>
      </c>
      <c r="J13" s="17">
        <f t="shared" ca="1" si="7"/>
        <v>622.3674520900895</v>
      </c>
      <c r="K13" s="17">
        <f t="shared" ca="1" si="7"/>
        <v>698.48646376526858</v>
      </c>
      <c r="L13" s="17">
        <f t="shared" ca="1" si="7"/>
        <v>811.92843934029406</v>
      </c>
      <c r="M13" s="17">
        <f t="shared" ca="1" si="7"/>
        <v>889.99899479778048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44" t="s">
        <v>190</v>
      </c>
      <c r="C14" s="232"/>
      <c r="D14" s="232"/>
      <c r="E14" s="232"/>
      <c r="F14" s="75">
        <v>1160.7</v>
      </c>
      <c r="G14" s="75">
        <v>2321.1999999999998</v>
      </c>
      <c r="H14" s="16">
        <v>2137.1</v>
      </c>
      <c r="I14" s="17">
        <f t="shared" ref="I14:M14" ca="1" si="8">I34*I26</f>
        <v>2247.2227040409261</v>
      </c>
      <c r="J14" s="17">
        <f t="shared" ca="1" si="8"/>
        <v>2503.7966555820631</v>
      </c>
      <c r="K14" s="17">
        <f t="shared" ca="1" si="8"/>
        <v>2784.8727256523712</v>
      </c>
      <c r="L14" s="17">
        <f t="shared" ca="1" si="8"/>
        <v>3096.2750177713078</v>
      </c>
      <c r="M14" s="17">
        <f t="shared" ca="1" si="8"/>
        <v>3438.1443094965198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44" t="s">
        <v>58</v>
      </c>
      <c r="C15" s="232"/>
      <c r="D15" s="232"/>
      <c r="E15" s="232"/>
      <c r="F15" s="75">
        <v>696</v>
      </c>
      <c r="G15" s="75">
        <v>772.3</v>
      </c>
      <c r="H15" s="16">
        <v>761.7</v>
      </c>
      <c r="I15" s="17">
        <f t="shared" ref="I15:M15" ca="1" si="9">I35*I26</f>
        <v>800.94966715079954</v>
      </c>
      <c r="J15" s="17">
        <f t="shared" ca="1" si="9"/>
        <v>892.39713282338562</v>
      </c>
      <c r="K15" s="17">
        <f t="shared" ca="1" si="9"/>
        <v>992.57758416986167</v>
      </c>
      <c r="L15" s="17">
        <f t="shared" ca="1" si="9"/>
        <v>1103.5668340444554</v>
      </c>
      <c r="M15" s="17">
        <f t="shared" ca="1" si="9"/>
        <v>1225.4150580429084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44" t="s">
        <v>59</v>
      </c>
      <c r="C16" s="232"/>
      <c r="D16" s="232"/>
      <c r="E16" s="232"/>
      <c r="F16" s="75">
        <v>1248.8</v>
      </c>
      <c r="G16" s="75">
        <v>1251.3</v>
      </c>
      <c r="H16" s="16">
        <v>1245.7</v>
      </c>
      <c r="I16" s="17">
        <f t="shared" ref="I16:M16" ca="1" si="10">I36*I26</f>
        <v>1309.8897208477758</v>
      </c>
      <c r="J16" s="17">
        <f t="shared" ca="1" si="10"/>
        <v>1459.4448055114763</v>
      </c>
      <c r="K16" s="17">
        <f t="shared" ca="1" si="10"/>
        <v>1623.2819963245329</v>
      </c>
      <c r="L16" s="17">
        <f t="shared" ca="1" si="10"/>
        <v>1804.7961207419955</v>
      </c>
      <c r="M16" s="17">
        <f t="shared" ca="1" si="10"/>
        <v>2004.0692369752537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44" t="s">
        <v>60</v>
      </c>
      <c r="C17" s="232"/>
      <c r="D17" s="232"/>
      <c r="E17" s="232"/>
      <c r="F17" s="75">
        <v>1456.5</v>
      </c>
      <c r="G17" s="75">
        <v>1596.1</v>
      </c>
      <c r="H17" s="16">
        <v>1641.9</v>
      </c>
      <c r="I17" s="17">
        <f t="shared" ref="I17:M17" ca="1" si="11">I37*I26</f>
        <v>1726.5055251344334</v>
      </c>
      <c r="J17" s="17">
        <f t="shared" ca="1" si="11"/>
        <v>1923.627218567306</v>
      </c>
      <c r="K17" s="17">
        <f t="shared" ca="1" si="11"/>
        <v>2139.5735006544519</v>
      </c>
      <c r="L17" s="17">
        <f t="shared" ca="1" si="11"/>
        <v>2378.8189376625855</v>
      </c>
      <c r="M17" s="17">
        <f t="shared" ca="1" si="11"/>
        <v>2641.4716867541702</v>
      </c>
      <c r="N17" s="1"/>
      <c r="O17" s="1"/>
      <c r="P17" s="1" t="s">
        <v>61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46" t="s">
        <v>62</v>
      </c>
      <c r="C18" s="46"/>
      <c r="D18" s="46"/>
      <c r="E18" s="46"/>
      <c r="F18" s="75">
        <f>438.8+98.2</f>
        <v>537</v>
      </c>
      <c r="G18" s="75">
        <v>0</v>
      </c>
      <c r="H18" s="16">
        <v>175</v>
      </c>
      <c r="I18" s="17">
        <f t="shared" ref="I18:M18" ca="1" si="12">I38*I26</f>
        <v>184.01758139870017</v>
      </c>
      <c r="J18" s="17">
        <f t="shared" ca="1" si="12"/>
        <v>205.027567604165</v>
      </c>
      <c r="K18" s="17">
        <f t="shared" ca="1" si="12"/>
        <v>228.04395067575922</v>
      </c>
      <c r="L18" s="17">
        <f t="shared" ca="1" si="12"/>
        <v>253.54364704973045</v>
      </c>
      <c r="M18" s="17">
        <f t="shared" ca="1" si="12"/>
        <v>281.53818453132328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46" t="s">
        <v>63</v>
      </c>
      <c r="C19" s="46"/>
      <c r="D19" s="46"/>
      <c r="E19" s="46"/>
      <c r="F19" s="75">
        <v>1249.9000000000001</v>
      </c>
      <c r="G19" s="75">
        <v>998.9</v>
      </c>
      <c r="H19" s="16">
        <v>1749</v>
      </c>
      <c r="I19" s="17">
        <f t="shared" ref="I19:M19" ca="1" si="13">I39*I26</f>
        <v>1839.1242849504374</v>
      </c>
      <c r="J19" s="17">
        <f t="shared" ca="1" si="13"/>
        <v>2049.1040899410546</v>
      </c>
      <c r="K19" s="17">
        <f t="shared" ca="1" si="13"/>
        <v>2279.1363984680161</v>
      </c>
      <c r="L19" s="17">
        <f t="shared" ca="1" si="13"/>
        <v>2533.98764965702</v>
      </c>
      <c r="M19" s="17">
        <f t="shared" ca="1" si="13"/>
        <v>2813.7730556873394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64" t="s">
        <v>190</v>
      </c>
      <c r="C20" s="238"/>
      <c r="D20" s="238"/>
      <c r="E20" s="239"/>
      <c r="F20" s="11">
        <f t="shared" ref="F20:M20" si="14">SUM(F13:F19)</f>
        <v>7346.7999999999993</v>
      </c>
      <c r="G20" s="11">
        <f t="shared" si="14"/>
        <v>8151.4</v>
      </c>
      <c r="H20" s="12">
        <f t="shared" si="14"/>
        <v>9151.7999999999993</v>
      </c>
      <c r="I20" s="11">
        <f t="shared" ca="1" si="14"/>
        <v>8691.3649299689096</v>
      </c>
      <c r="J20" s="11">
        <f t="shared" ca="1" si="14"/>
        <v>9655.7649221195388</v>
      </c>
      <c r="K20" s="11">
        <f t="shared" ca="1" si="14"/>
        <v>10745.972619710261</v>
      </c>
      <c r="L20" s="11">
        <f t="shared" ca="1" si="14"/>
        <v>11982.916646267387</v>
      </c>
      <c r="M20" s="11">
        <f t="shared" ca="1" si="14"/>
        <v>13294.410526285295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44"/>
      <c r="C21" s="232"/>
      <c r="D21" s="232"/>
      <c r="E21" s="232"/>
      <c r="F21" s="17"/>
      <c r="G21" s="17"/>
      <c r="H21" s="18"/>
      <c r="I21" s="17"/>
      <c r="J21" s="17"/>
      <c r="K21" s="17"/>
      <c r="L21" s="17"/>
      <c r="M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76"/>
      <c r="B22" s="247" t="s">
        <v>54</v>
      </c>
      <c r="C22" s="248"/>
      <c r="D22" s="248"/>
      <c r="E22" s="249"/>
      <c r="F22" s="77">
        <f t="shared" ref="F22:M22" si="15">F12-F20</f>
        <v>-3891.2999999999993</v>
      </c>
      <c r="G22" s="77">
        <f t="shared" si="15"/>
        <v>-4850.6999999999989</v>
      </c>
      <c r="H22" s="78">
        <f t="shared" si="15"/>
        <v>-4951.4999999999991</v>
      </c>
      <c r="I22" s="77">
        <f t="shared" ca="1" si="15"/>
        <v>-4365.9168279106461</v>
      </c>
      <c r="J22" s="77">
        <f t="shared" ca="1" si="15"/>
        <v>-4956.0299495746112</v>
      </c>
      <c r="K22" s="77">
        <f t="shared" ca="1" si="15"/>
        <v>-5518.6456665985943</v>
      </c>
      <c r="L22" s="77">
        <f t="shared" ca="1" si="15"/>
        <v>-6057.4040593152122</v>
      </c>
      <c r="M22" s="78">
        <f t="shared" ca="1" si="15"/>
        <v>-6731.3687784822832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5.75" customHeight="1">
      <c r="A23" s="1"/>
      <c r="B23" s="265" t="s">
        <v>64</v>
      </c>
      <c r="C23" s="234"/>
      <c r="D23" s="234"/>
      <c r="E23" s="234"/>
      <c r="F23" s="17"/>
      <c r="G23" s="22">
        <f t="shared" ref="G23:M23" si="16">G22-F22</f>
        <v>-959.39999999999964</v>
      </c>
      <c r="H23" s="18">
        <f t="shared" si="16"/>
        <v>-100.80000000000018</v>
      </c>
      <c r="I23" s="17">
        <f t="shared" ca="1" si="16"/>
        <v>585.58317208935296</v>
      </c>
      <c r="J23" s="17">
        <f t="shared" ca="1" si="16"/>
        <v>-590.1131216639651</v>
      </c>
      <c r="K23" s="17">
        <f t="shared" ca="1" si="16"/>
        <v>-562.61571702398305</v>
      </c>
      <c r="L23" s="17">
        <f t="shared" ca="1" si="16"/>
        <v>-538.75839271661789</v>
      </c>
      <c r="M23" s="17">
        <f t="shared" ca="1" si="16"/>
        <v>-673.96471916707105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44"/>
      <c r="C24" s="232"/>
      <c r="D24" s="232"/>
      <c r="E24" s="232"/>
      <c r="F24" s="17"/>
      <c r="G24" s="17"/>
      <c r="H24" s="18"/>
      <c r="I24" s="17"/>
      <c r="J24" s="17"/>
      <c r="K24" s="17"/>
      <c r="L24" s="17"/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63" t="s">
        <v>65</v>
      </c>
      <c r="C25" s="248"/>
      <c r="D25" s="248"/>
      <c r="E25" s="249"/>
      <c r="F25" s="77"/>
      <c r="G25" s="77"/>
      <c r="H25" s="78"/>
      <c r="I25" s="77"/>
      <c r="J25" s="77"/>
      <c r="K25" s="77"/>
      <c r="L25" s="77"/>
      <c r="M25" s="7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44" t="s">
        <v>66</v>
      </c>
      <c r="C26" s="232"/>
      <c r="D26" s="232"/>
      <c r="E26" s="232"/>
      <c r="F26" s="17">
        <f>'Operating Build'!F8</f>
        <v>23518</v>
      </c>
      <c r="G26" s="22">
        <f>'Operating Build'!G8</f>
        <v>29060.6</v>
      </c>
      <c r="H26" s="23">
        <f>'Operating Build'!H8</f>
        <v>32250.3</v>
      </c>
      <c r="I26" s="17">
        <f ca="1">'Operating Build'!I8</f>
        <v>33912.126887899998</v>
      </c>
      <c r="J26" s="17">
        <f ca="1">'Operating Build'!J8</f>
        <v>37784.003220026301</v>
      </c>
      <c r="K26" s="17">
        <f ca="1">'Operating Build'!K8</f>
        <v>42025.633271305356</v>
      </c>
      <c r="L26" s="17">
        <f ca="1">'Operating Build'!L8</f>
        <v>46724.906745416694</v>
      </c>
      <c r="M26" s="17">
        <f ca="1">'Operating Build'!M8</f>
        <v>51883.948071945917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44" t="s">
        <v>67</v>
      </c>
      <c r="C27" s="232"/>
      <c r="D27" s="232"/>
      <c r="E27" s="232"/>
      <c r="F27" s="17">
        <f>'Operating Build'!F9*-1</f>
        <v>7694.9</v>
      </c>
      <c r="G27" s="17">
        <f>'Operating Build'!G9*-1</f>
        <v>8738.7000000000007</v>
      </c>
      <c r="H27" s="18">
        <f>'Operating Build'!H9*-1</f>
        <v>10317.4</v>
      </c>
      <c r="I27" s="17">
        <f ca="1">'Operating Build'!I9*-1</f>
        <v>10682.3199696885</v>
      </c>
      <c r="J27" s="17">
        <f ca="1">'Operating Build'!J9*-1</f>
        <v>11335.200966007889</v>
      </c>
      <c r="K27" s="17">
        <f ca="1">'Operating Build'!K9*-1</f>
        <v>12607.689981391606</v>
      </c>
      <c r="L27" s="17">
        <f ca="1">'Operating Build'!L9*-1</f>
        <v>14556.284414035204</v>
      </c>
      <c r="M27" s="17">
        <f ca="1">'Operating Build'!M9*-1</f>
        <v>16084.209858869141</v>
      </c>
      <c r="N27" s="1"/>
      <c r="O27" s="43" t="s">
        <v>37</v>
      </c>
      <c r="P27" s="1"/>
      <c r="Q27" s="79"/>
      <c r="R27" s="79"/>
      <c r="S27" s="79"/>
      <c r="T27" s="79"/>
      <c r="U27" s="79"/>
      <c r="V27" s="1"/>
      <c r="W27" s="1"/>
      <c r="X27" s="1"/>
      <c r="Y27" s="1"/>
      <c r="Z27" s="1"/>
    </row>
    <row r="28" spans="1:26" ht="15.75" customHeight="1">
      <c r="A28" s="1"/>
      <c r="B28" s="244" t="s">
        <v>68</v>
      </c>
      <c r="C28" s="232"/>
      <c r="D28" s="232"/>
      <c r="E28" s="232"/>
      <c r="F28" s="17"/>
      <c r="G28" s="17">
        <f t="shared" ref="G28:M28" si="17">G9+G27-F9</f>
        <v>8791.2000000000007</v>
      </c>
      <c r="H28" s="18">
        <f t="shared" si="17"/>
        <v>10890.1</v>
      </c>
      <c r="I28" s="17">
        <f t="shared" ca="1" si="17"/>
        <v>10759.304947107617</v>
      </c>
      <c r="J28" s="17">
        <f t="shared" ca="1" si="17"/>
        <v>11472.935354185993</v>
      </c>
      <c r="K28" s="17">
        <f t="shared" ca="1" si="17"/>
        <v>12876.139357289041</v>
      </c>
      <c r="L28" s="17">
        <f t="shared" ca="1" si="17"/>
        <v>14967.367694909462</v>
      </c>
      <c r="M28" s="17">
        <f t="shared" ca="1" si="17"/>
        <v>16406.547126322719</v>
      </c>
      <c r="N28" s="1"/>
      <c r="O28" s="1"/>
      <c r="P28" s="1"/>
      <c r="Q28" s="79"/>
      <c r="R28" s="79"/>
      <c r="S28" s="79"/>
      <c r="T28" s="79"/>
      <c r="U28" s="79"/>
      <c r="V28" s="1"/>
      <c r="W28" s="1"/>
      <c r="X28" s="1"/>
      <c r="Y28" s="1"/>
      <c r="Z28" s="1"/>
    </row>
    <row r="29" spans="1:26" ht="15.75" customHeight="1">
      <c r="A29" s="1"/>
      <c r="B29" s="46"/>
      <c r="C29" s="46"/>
      <c r="D29" s="46"/>
      <c r="E29" s="46"/>
      <c r="F29" s="17"/>
      <c r="G29" s="17"/>
      <c r="H29" s="18"/>
      <c r="I29" s="17"/>
      <c r="J29" s="17"/>
      <c r="K29" s="17"/>
      <c r="L29" s="17"/>
      <c r="M29" s="17"/>
      <c r="N29" s="1"/>
      <c r="O29" s="1"/>
      <c r="P29" s="1"/>
      <c r="Q29" s="79"/>
      <c r="R29" s="79"/>
      <c r="S29" s="79"/>
      <c r="T29" s="79"/>
      <c r="U29" s="79"/>
      <c r="V29" s="1"/>
      <c r="W29" s="1"/>
      <c r="X29" s="1"/>
      <c r="Y29" s="1"/>
      <c r="Z29" s="1"/>
    </row>
    <row r="30" spans="1:26" ht="15.75" customHeight="1">
      <c r="A30" s="1"/>
      <c r="B30" s="260" t="s">
        <v>69</v>
      </c>
      <c r="C30" s="234"/>
      <c r="D30" s="234"/>
      <c r="E30" s="234"/>
      <c r="F30" s="80">
        <f t="shared" ref="F30:H30" si="18">F8/F$26</f>
        <v>1.1956799047538056E-2</v>
      </c>
      <c r="G30" s="80">
        <f t="shared" si="18"/>
        <v>5.5814401629697939E-3</v>
      </c>
      <c r="H30" s="81">
        <f t="shared" si="18"/>
        <v>1.1302220444460982E-2</v>
      </c>
      <c r="I30" s="82">
        <f t="shared" ref="I30:M30" si="19">H30</f>
        <v>1.1302220444460982E-2</v>
      </c>
      <c r="J30" s="80">
        <f t="shared" si="19"/>
        <v>1.1302220444460982E-2</v>
      </c>
      <c r="K30" s="80">
        <f t="shared" si="19"/>
        <v>1.1302220444460982E-2</v>
      </c>
      <c r="L30" s="80">
        <f t="shared" si="19"/>
        <v>1.1302220444460982E-2</v>
      </c>
      <c r="M30" s="81">
        <f t="shared" si="19"/>
        <v>1.1302220444460982E-2</v>
      </c>
      <c r="N30" s="1"/>
      <c r="O30" s="83">
        <v>0</v>
      </c>
      <c r="P30" s="1"/>
      <c r="Q30" s="79"/>
      <c r="R30" s="79"/>
      <c r="S30" s="79"/>
      <c r="T30" s="79"/>
      <c r="U30" s="79"/>
      <c r="V30" s="1"/>
      <c r="W30" s="1"/>
      <c r="X30" s="1"/>
      <c r="Y30" s="1"/>
      <c r="Z30" s="1"/>
    </row>
    <row r="31" spans="1:26" ht="15.75" customHeight="1">
      <c r="A31" s="1"/>
      <c r="B31" s="84" t="s">
        <v>70</v>
      </c>
      <c r="C31" s="46"/>
      <c r="D31" s="46"/>
      <c r="E31" s="46"/>
      <c r="F31" s="85">
        <f t="shared" ref="F31:H31" si="20">F9/F27</f>
        <v>0.20161405606310676</v>
      </c>
      <c r="G31" s="85">
        <f t="shared" si="20"/>
        <v>0.18353988579537001</v>
      </c>
      <c r="H31" s="86">
        <f t="shared" si="20"/>
        <v>0.2109640025587842</v>
      </c>
      <c r="I31" s="87">
        <f t="shared" ref="I31:M31" si="21">H31</f>
        <v>0.2109640025587842</v>
      </c>
      <c r="J31" s="85">
        <f t="shared" si="21"/>
        <v>0.2109640025587842</v>
      </c>
      <c r="K31" s="85">
        <f t="shared" si="21"/>
        <v>0.2109640025587842</v>
      </c>
      <c r="L31" s="85">
        <f t="shared" si="21"/>
        <v>0.2109640025587842</v>
      </c>
      <c r="M31" s="86">
        <f t="shared" si="21"/>
        <v>0.2109640025587842</v>
      </c>
      <c r="N31" s="1"/>
      <c r="O31" s="83"/>
      <c r="P31" s="1"/>
      <c r="Q31" s="79"/>
      <c r="R31" s="79"/>
      <c r="S31" s="79"/>
      <c r="T31" s="79"/>
      <c r="U31" s="79"/>
      <c r="V31" s="1"/>
      <c r="W31" s="1"/>
      <c r="X31" s="1"/>
      <c r="Y31" s="1"/>
      <c r="Z31" s="1"/>
    </row>
    <row r="32" spans="1:26" ht="15.75" customHeight="1">
      <c r="A32" s="1"/>
      <c r="B32" s="262" t="s">
        <v>71</v>
      </c>
      <c r="C32" s="232"/>
      <c r="D32" s="232"/>
      <c r="E32" s="232"/>
      <c r="F32" s="85">
        <f t="shared" ref="F32:H32" si="22">F10/F26</f>
        <v>3.1444000340164979E-2</v>
      </c>
      <c r="G32" s="85">
        <f t="shared" si="22"/>
        <v>2.046069248398175E-2</v>
      </c>
      <c r="H32" s="86">
        <f t="shared" si="22"/>
        <v>1.4998310093239443E-2</v>
      </c>
      <c r="I32" s="87">
        <f t="shared" ref="I32:M32" si="23">H32</f>
        <v>1.4998310093239443E-2</v>
      </c>
      <c r="J32" s="85">
        <f t="shared" si="23"/>
        <v>1.4998310093239443E-2</v>
      </c>
      <c r="K32" s="85">
        <f t="shared" si="23"/>
        <v>1.4998310093239443E-2</v>
      </c>
      <c r="L32" s="85">
        <f t="shared" si="23"/>
        <v>1.4998310093239443E-2</v>
      </c>
      <c r="M32" s="86">
        <f t="shared" si="23"/>
        <v>1.4998310093239443E-2</v>
      </c>
      <c r="N32" s="1"/>
      <c r="O32" s="83">
        <v>0</v>
      </c>
      <c r="P32" s="1"/>
      <c r="Q32" s="79"/>
      <c r="R32" s="79"/>
      <c r="S32" s="79"/>
      <c r="T32" s="79"/>
      <c r="U32" s="79"/>
      <c r="V32" s="1"/>
      <c r="W32" s="1"/>
      <c r="X32" s="1"/>
      <c r="Y32" s="1"/>
      <c r="Z32" s="1"/>
    </row>
    <row r="33" spans="1:26" ht="15.75" customHeight="1">
      <c r="A33" s="1"/>
      <c r="B33" s="262" t="s">
        <v>72</v>
      </c>
      <c r="C33" s="232"/>
      <c r="D33" s="232"/>
      <c r="E33" s="232"/>
      <c r="F33" s="85">
        <v>0</v>
      </c>
      <c r="G33" s="85">
        <v>0</v>
      </c>
      <c r="H33" s="86">
        <v>0</v>
      </c>
      <c r="I33" s="87">
        <f t="shared" ref="I33:M33" si="24">H33</f>
        <v>0</v>
      </c>
      <c r="J33" s="85">
        <f t="shared" si="24"/>
        <v>0</v>
      </c>
      <c r="K33" s="85">
        <f t="shared" si="24"/>
        <v>0</v>
      </c>
      <c r="L33" s="85">
        <f t="shared" si="24"/>
        <v>0</v>
      </c>
      <c r="M33" s="86">
        <f t="shared" si="24"/>
        <v>0</v>
      </c>
      <c r="N33" s="1"/>
      <c r="O33" s="83">
        <v>0</v>
      </c>
      <c r="P33" s="1"/>
      <c r="Q33" s="79"/>
      <c r="R33" s="79"/>
      <c r="S33" s="79"/>
      <c r="T33" s="79"/>
      <c r="U33" s="79"/>
      <c r="V33" s="1"/>
      <c r="W33" s="1"/>
      <c r="X33" s="1"/>
      <c r="Y33" s="1"/>
      <c r="Z33" s="1"/>
    </row>
    <row r="34" spans="1:26" ht="15.75" customHeight="1">
      <c r="A34" s="1"/>
      <c r="B34" s="262" t="s">
        <v>73</v>
      </c>
      <c r="C34" s="232"/>
      <c r="D34" s="232"/>
      <c r="E34" s="232"/>
      <c r="F34" s="85">
        <f t="shared" ref="F34:H34" si="25">F14/F26</f>
        <v>4.9353686537970919E-2</v>
      </c>
      <c r="G34" s="85">
        <f t="shared" si="25"/>
        <v>7.9874469212610891E-2</v>
      </c>
      <c r="H34" s="86">
        <f t="shared" si="25"/>
        <v>6.6266050238292351E-2</v>
      </c>
      <c r="I34" s="87">
        <f t="shared" ref="I34:M34" si="26">H34</f>
        <v>6.6266050238292351E-2</v>
      </c>
      <c r="J34" s="85">
        <f t="shared" si="26"/>
        <v>6.6266050238292351E-2</v>
      </c>
      <c r="K34" s="85">
        <f t="shared" si="26"/>
        <v>6.6266050238292351E-2</v>
      </c>
      <c r="L34" s="85">
        <f t="shared" si="26"/>
        <v>6.6266050238292351E-2</v>
      </c>
      <c r="M34" s="86">
        <f t="shared" si="26"/>
        <v>6.6266050238292351E-2</v>
      </c>
      <c r="N34" s="1"/>
      <c r="O34" s="83">
        <v>0</v>
      </c>
      <c r="P34" s="1"/>
      <c r="Q34" s="79"/>
      <c r="R34" s="79"/>
      <c r="S34" s="79"/>
      <c r="T34" s="79"/>
      <c r="U34" s="79"/>
      <c r="V34" s="1"/>
      <c r="W34" s="1"/>
      <c r="X34" s="1"/>
      <c r="Y34" s="1"/>
      <c r="Z34" s="1"/>
    </row>
    <row r="35" spans="1:26" ht="15.75" customHeight="1">
      <c r="A35" s="1"/>
      <c r="B35" s="262" t="s">
        <v>74</v>
      </c>
      <c r="C35" s="232"/>
      <c r="D35" s="232"/>
      <c r="E35" s="232"/>
      <c r="F35" s="85">
        <f t="shared" ref="F35:H35" si="27">F15/F26</f>
        <v>2.9594353261331745E-2</v>
      </c>
      <c r="G35" s="85">
        <f t="shared" si="27"/>
        <v>2.6575500849948041E-2</v>
      </c>
      <c r="H35" s="86">
        <f t="shared" si="27"/>
        <v>2.3618384945256324E-2</v>
      </c>
      <c r="I35" s="87">
        <f t="shared" ref="I35:M35" si="28">H35</f>
        <v>2.3618384945256324E-2</v>
      </c>
      <c r="J35" s="85">
        <f t="shared" si="28"/>
        <v>2.3618384945256324E-2</v>
      </c>
      <c r="K35" s="85">
        <f t="shared" si="28"/>
        <v>2.3618384945256324E-2</v>
      </c>
      <c r="L35" s="85">
        <f t="shared" si="28"/>
        <v>2.3618384945256324E-2</v>
      </c>
      <c r="M35" s="86">
        <f t="shared" si="28"/>
        <v>2.3618384945256324E-2</v>
      </c>
      <c r="N35" s="1"/>
      <c r="O35" s="83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84" t="s">
        <v>75</v>
      </c>
      <c r="C36" s="46"/>
      <c r="D36" s="46"/>
      <c r="E36" s="46"/>
      <c r="F36" s="85">
        <f t="shared" ref="F36:H36" si="29">F16/F26</f>
        <v>5.309975338038949E-2</v>
      </c>
      <c r="G36" s="85">
        <f t="shared" si="29"/>
        <v>4.3058298865130108E-2</v>
      </c>
      <c r="H36" s="86">
        <f t="shared" si="29"/>
        <v>3.8625997277544705E-2</v>
      </c>
      <c r="I36" s="87">
        <f t="shared" ref="I36:M36" si="30">H36</f>
        <v>3.8625997277544705E-2</v>
      </c>
      <c r="J36" s="85">
        <f t="shared" si="30"/>
        <v>3.8625997277544705E-2</v>
      </c>
      <c r="K36" s="85">
        <f t="shared" si="30"/>
        <v>3.8625997277544705E-2</v>
      </c>
      <c r="L36" s="85">
        <f t="shared" si="30"/>
        <v>3.8625997277544705E-2</v>
      </c>
      <c r="M36" s="86">
        <f t="shared" si="30"/>
        <v>3.8625997277544705E-2</v>
      </c>
      <c r="N36" s="1"/>
      <c r="O36" s="83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84" t="s">
        <v>76</v>
      </c>
      <c r="C37" s="46"/>
      <c r="D37" s="46"/>
      <c r="E37" s="46"/>
      <c r="F37" s="85">
        <f t="shared" ref="F37:H37" si="31">F17/F26</f>
        <v>6.1931286674036905E-2</v>
      </c>
      <c r="G37" s="85">
        <f t="shared" si="31"/>
        <v>5.4923160567916698E-2</v>
      </c>
      <c r="H37" s="86">
        <f t="shared" si="31"/>
        <v>5.0911154314843589E-2</v>
      </c>
      <c r="I37" s="87">
        <f t="shared" ref="I37:M37" si="32">H37</f>
        <v>5.0911154314843589E-2</v>
      </c>
      <c r="J37" s="85">
        <f t="shared" si="32"/>
        <v>5.0911154314843589E-2</v>
      </c>
      <c r="K37" s="85">
        <f t="shared" si="32"/>
        <v>5.0911154314843589E-2</v>
      </c>
      <c r="L37" s="85">
        <f t="shared" si="32"/>
        <v>5.0911154314843589E-2</v>
      </c>
      <c r="M37" s="86">
        <f t="shared" si="32"/>
        <v>5.0911154314843589E-2</v>
      </c>
      <c r="N37" s="1"/>
      <c r="O37" s="83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84" t="s">
        <v>77</v>
      </c>
      <c r="C38" s="46"/>
      <c r="D38" s="46"/>
      <c r="E38" s="46"/>
      <c r="F38" s="85">
        <f t="shared" ref="F38:H38" si="33">F18/F26</f>
        <v>2.2833574283527509E-2</v>
      </c>
      <c r="G38" s="85">
        <f t="shared" si="33"/>
        <v>0</v>
      </c>
      <c r="H38" s="86">
        <f t="shared" si="33"/>
        <v>5.4263061118811299E-3</v>
      </c>
      <c r="I38" s="87">
        <f t="shared" ref="I38:M38" si="34">H38</f>
        <v>5.4263061118811299E-3</v>
      </c>
      <c r="J38" s="85">
        <f t="shared" si="34"/>
        <v>5.4263061118811299E-3</v>
      </c>
      <c r="K38" s="85">
        <f t="shared" si="34"/>
        <v>5.4263061118811299E-3</v>
      </c>
      <c r="L38" s="85">
        <f t="shared" si="34"/>
        <v>5.4263061118811299E-3</v>
      </c>
      <c r="M38" s="86">
        <f t="shared" si="34"/>
        <v>5.4263061118811299E-3</v>
      </c>
      <c r="N38" s="1"/>
      <c r="O38" s="83"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61" t="s">
        <v>63</v>
      </c>
      <c r="C39" s="236"/>
      <c r="D39" s="236"/>
      <c r="E39" s="236"/>
      <c r="F39" s="88">
        <f t="shared" ref="F39:H39" si="35">F19/F26</f>
        <v>5.31465260651416E-2</v>
      </c>
      <c r="G39" s="88">
        <f t="shared" si="35"/>
        <v>3.4372999869238766E-2</v>
      </c>
      <c r="H39" s="89">
        <f t="shared" si="35"/>
        <v>5.4232053655314832E-2</v>
      </c>
      <c r="I39" s="90">
        <f t="shared" ref="I39:M39" si="36">H39</f>
        <v>5.4232053655314832E-2</v>
      </c>
      <c r="J39" s="88">
        <f t="shared" si="36"/>
        <v>5.4232053655314832E-2</v>
      </c>
      <c r="K39" s="88">
        <f t="shared" si="36"/>
        <v>5.4232053655314832E-2</v>
      </c>
      <c r="L39" s="88">
        <f t="shared" si="36"/>
        <v>5.4232053655314832E-2</v>
      </c>
      <c r="M39" s="89">
        <f t="shared" si="36"/>
        <v>5.4232053655314832E-2</v>
      </c>
      <c r="N39" s="1"/>
      <c r="O39" s="83"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56"/>
      <c r="C40" s="236"/>
      <c r="D40" s="236"/>
      <c r="E40" s="236"/>
      <c r="F40" s="17"/>
      <c r="G40" s="17"/>
      <c r="H40" s="18"/>
      <c r="I40" s="17"/>
      <c r="J40" s="17"/>
      <c r="K40" s="17"/>
      <c r="L40" s="17"/>
      <c r="M40" s="1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47" t="s">
        <v>78</v>
      </c>
      <c r="C41" s="248"/>
      <c r="D41" s="248"/>
      <c r="E41" s="249"/>
      <c r="F41" s="91"/>
      <c r="G41" s="91"/>
      <c r="H41" s="92"/>
      <c r="I41" s="91"/>
      <c r="J41" s="91"/>
      <c r="K41" s="91"/>
      <c r="L41" s="93"/>
      <c r="M41" s="91"/>
      <c r="N41" s="1"/>
      <c r="O41" s="28" t="s">
        <v>37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57" t="s">
        <v>79</v>
      </c>
      <c r="C42" s="258"/>
      <c r="D42" s="258"/>
      <c r="E42" s="259"/>
      <c r="F42" s="94">
        <v>365</v>
      </c>
      <c r="G42" s="94">
        <v>365</v>
      </c>
      <c r="H42" s="95">
        <v>365</v>
      </c>
      <c r="I42" s="94">
        <v>365</v>
      </c>
      <c r="J42" s="94">
        <v>365</v>
      </c>
      <c r="K42" s="94">
        <v>365</v>
      </c>
      <c r="L42" s="94">
        <v>365</v>
      </c>
      <c r="M42" s="95">
        <v>365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60" t="s">
        <v>80</v>
      </c>
      <c r="C43" s="234"/>
      <c r="D43" s="234"/>
      <c r="E43" s="234"/>
      <c r="F43" s="96">
        <v>14.9</v>
      </c>
      <c r="G43" s="96">
        <v>12.4</v>
      </c>
      <c r="H43" s="97">
        <v>12.7</v>
      </c>
      <c r="I43" s="98">
        <f t="shared" ref="I43:M43" si="37">H43</f>
        <v>12.7</v>
      </c>
      <c r="J43" s="98">
        <f t="shared" si="37"/>
        <v>12.7</v>
      </c>
      <c r="K43" s="98">
        <f t="shared" si="37"/>
        <v>12.7</v>
      </c>
      <c r="L43" s="98">
        <f t="shared" si="37"/>
        <v>12.7</v>
      </c>
      <c r="M43" s="97">
        <f t="shared" si="37"/>
        <v>12.7</v>
      </c>
      <c r="N43" s="1"/>
      <c r="O43" s="83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61" t="s">
        <v>81</v>
      </c>
      <c r="C44" s="236"/>
      <c r="D44" s="236"/>
      <c r="E44" s="236"/>
      <c r="F44" s="99">
        <v>21.6</v>
      </c>
      <c r="G44" s="99">
        <v>19.8</v>
      </c>
      <c r="H44" s="100">
        <v>19.8</v>
      </c>
      <c r="I44" s="101">
        <f t="shared" ref="I44:M44" si="38">H44+$O$44</f>
        <v>19.8</v>
      </c>
      <c r="J44" s="101">
        <f t="shared" si="38"/>
        <v>19.8</v>
      </c>
      <c r="K44" s="101">
        <f t="shared" si="38"/>
        <v>19.8</v>
      </c>
      <c r="L44" s="101">
        <f t="shared" si="38"/>
        <v>19.8</v>
      </c>
      <c r="M44" s="102">
        <f t="shared" si="38"/>
        <v>19.8</v>
      </c>
      <c r="N44" s="1"/>
      <c r="O44" s="83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31"/>
      <c r="C45" s="232"/>
      <c r="D45" s="232"/>
      <c r="E45" s="232"/>
      <c r="F45" s="1"/>
      <c r="G45" s="1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31"/>
      <c r="C46" s="232"/>
      <c r="D46" s="232"/>
      <c r="E46" s="232"/>
      <c r="F46" s="1"/>
      <c r="G46" s="1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31"/>
      <c r="C47" s="232"/>
      <c r="D47" s="232"/>
      <c r="E47" s="232"/>
      <c r="F47" s="1"/>
      <c r="G47" s="1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31"/>
      <c r="C48" s="232"/>
      <c r="D48" s="232"/>
      <c r="E48" s="232"/>
      <c r="F48" s="1"/>
      <c r="G48" s="1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31"/>
      <c r="C49" s="232"/>
      <c r="D49" s="232"/>
      <c r="E49" s="232"/>
      <c r="F49" s="1"/>
      <c r="G49" s="1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31"/>
      <c r="C50" s="232"/>
      <c r="D50" s="232"/>
      <c r="E50" s="232"/>
      <c r="F50" s="1"/>
      <c r="G50" s="1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31"/>
      <c r="C51" s="232"/>
      <c r="D51" s="232"/>
      <c r="E51" s="232"/>
      <c r="F51" s="1"/>
      <c r="G51" s="1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31"/>
      <c r="C52" s="232"/>
      <c r="D52" s="232"/>
      <c r="E52" s="232"/>
      <c r="F52" s="1"/>
      <c r="G52" s="1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31"/>
      <c r="C53" s="232"/>
      <c r="D53" s="232"/>
      <c r="E53" s="232"/>
      <c r="F53" s="1"/>
      <c r="G53" s="1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31"/>
      <c r="C54" s="232"/>
      <c r="D54" s="232"/>
      <c r="E54" s="232"/>
      <c r="F54" s="1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B2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52:E52"/>
    <mergeCell ref="B53:E53"/>
    <mergeCell ref="B54:E54"/>
    <mergeCell ref="B45:E45"/>
    <mergeCell ref="B46:E46"/>
    <mergeCell ref="B47:E47"/>
    <mergeCell ref="B48:E48"/>
    <mergeCell ref="B49:E49"/>
    <mergeCell ref="B50:E50"/>
    <mergeCell ref="B51:E51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21:A1000"/>
  <sheetViews>
    <sheetView showGridLines="0"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Financial Statements -&gt;</vt:lpstr>
      <vt:lpstr>Cover</vt:lpstr>
      <vt:lpstr>Operating Build</vt:lpstr>
      <vt:lpstr>Revenue Build</vt:lpstr>
      <vt:lpstr>Schedules -&gt;</vt:lpstr>
      <vt:lpstr>Assumptions</vt:lpstr>
      <vt:lpstr>NWC</vt:lpstr>
      <vt:lpstr>Valuation -&gt;</vt:lpstr>
      <vt:lpstr>Comps</vt:lpstr>
      <vt:lpstr>DCF</vt:lpstr>
      <vt:lpstr>WACC</vt:lpstr>
      <vt:lpstr>Slide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McDonough</dc:creator>
  <cp:lastModifiedBy>Aidan Donohoe</cp:lastModifiedBy>
  <dcterms:created xsi:type="dcterms:W3CDTF">2023-03-25T19:28:28Z</dcterms:created>
  <dcterms:modified xsi:type="dcterms:W3CDTF">2023-03-28T02:52:40Z</dcterms:modified>
</cp:coreProperties>
</file>