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LAU2\Downloads\"/>
    </mc:Choice>
  </mc:AlternateContent>
  <xr:revisionPtr revIDLastSave="0" documentId="13_ncr:1_{60AB686D-E4D5-42F4-A31A-CE9E6C3DCC12}" xr6:coauthVersionLast="47" xr6:coauthVersionMax="47" xr10:uidLastSave="{00000000-0000-0000-0000-000000000000}"/>
  <bookViews>
    <workbookView xWindow="-120" yWindow="-120" windowWidth="29040" windowHeight="15720" tabRatio="856" firstSheet="6" activeTab="19" xr2:uid="{72B908FB-00C8-4FCF-B8E3-FE1729A9F502}"/>
  </bookViews>
  <sheets>
    <sheet name="Cover" sheetId="1" r:id="rId1"/>
    <sheet name="Pro Forma Financials" sheetId="3" r:id="rId2"/>
    <sheet name="Income Statement" sheetId="4" r:id="rId3"/>
    <sheet name="Balance Sheet" sheetId="5" r:id="rId4"/>
    <sheet name="Cash Flow Statement" sheetId="6" r:id="rId5"/>
    <sheet name="Supplementary Schedules" sheetId="7" r:id="rId6"/>
    <sheet name="Revenue Build" sheetId="8" r:id="rId7"/>
    <sheet name="Metrics &amp; Drivers" sheetId="9" r:id="rId8"/>
    <sheet name="Debt Schedule" sheetId="11" r:id="rId9"/>
    <sheet name="Equity Schedule" sheetId="12" r:id="rId10"/>
    <sheet name="NWC" sheetId="13" r:id="rId11"/>
    <sheet name="PPE" sheetId="14" r:id="rId12"/>
    <sheet name="Valuation" sheetId="15" r:id="rId13"/>
    <sheet name="Comps" sheetId="16" r:id="rId14"/>
    <sheet name="Beta" sheetId="18" r:id="rId15"/>
    <sheet name="WACC" sheetId="19" r:id="rId16"/>
    <sheet name="DCF" sheetId="20" r:id="rId17"/>
    <sheet name="Ratio Analysis" sheetId="21" r:id="rId18"/>
    <sheet name="_CIQHiddenCacheSheet" sheetId="28" state="veryHidden" r:id="rId19"/>
    <sheet name="Liquidity" sheetId="22" r:id="rId20"/>
    <sheet name="Leverage &amp; Solvency" sheetId="23" r:id="rId21"/>
    <sheet name="Efficiency" sheetId="24" r:id="rId22"/>
    <sheet name="Profitability" sheetId="25" r:id="rId23"/>
  </sheets>
  <definedNames>
    <definedName name="CIQWBGuid" hidden="1">"d18073b8-3f1e-46fc-abe2-2e5f079b3418"</definedName>
    <definedName name="CIQWBInfo" hidden="1">"{ ""CIQVersion"":""9.50.2716.4594""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45187.061099537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6" i="25" l="1"/>
  <c r="I44" i="25"/>
  <c r="L46" i="25"/>
  <c r="H44" i="25"/>
  <c r="D45" i="25"/>
  <c r="M44" i="25"/>
  <c r="L44" i="25"/>
  <c r="K44" i="25"/>
  <c r="J44" i="25"/>
  <c r="I45" i="25"/>
  <c r="H45" i="25"/>
  <c r="G45" i="25"/>
  <c r="F45" i="25"/>
  <c r="E45" i="25"/>
  <c r="D46" i="25"/>
  <c r="M45" i="25"/>
  <c r="L45" i="25"/>
  <c r="K45" i="25"/>
  <c r="J45" i="25"/>
  <c r="E44" i="25"/>
  <c r="H46" i="25"/>
  <c r="G46" i="25"/>
  <c r="F46" i="25"/>
  <c r="E46" i="25"/>
  <c r="K46" i="25"/>
  <c r="G44" i="25"/>
  <c r="J46" i="25"/>
  <c r="F44" i="25"/>
  <c r="I46" i="25"/>
  <c r="G43" i="25"/>
  <c r="H43" i="25" s="1"/>
  <c r="I43" i="25" s="1"/>
  <c r="J43" i="25" s="1"/>
  <c r="K43" i="25" s="1"/>
  <c r="L43" i="25" s="1"/>
  <c r="M43" i="25" s="1"/>
  <c r="G13" i="1"/>
  <c r="D44" i="25"/>
  <c r="C44" i="25"/>
  <c r="C46" i="25"/>
  <c r="C45" i="25"/>
  <c r="J24" i="23"/>
  <c r="D25" i="23"/>
  <c r="M24" i="23"/>
  <c r="L24" i="23"/>
  <c r="K24" i="23"/>
  <c r="H25" i="23"/>
  <c r="G25" i="23"/>
  <c r="F25" i="23"/>
  <c r="E25" i="23"/>
  <c r="L25" i="23"/>
  <c r="K25" i="23"/>
  <c r="J25" i="23"/>
  <c r="I25" i="23"/>
  <c r="F26" i="23"/>
  <c r="E26" i="23"/>
  <c r="D26" i="23"/>
  <c r="M25" i="23"/>
  <c r="I26" i="23"/>
  <c r="E24" i="23"/>
  <c r="H26" i="23"/>
  <c r="G26" i="23"/>
  <c r="K26" i="23"/>
  <c r="G24" i="23"/>
  <c r="J26" i="23"/>
  <c r="F24" i="23"/>
  <c r="M26" i="23"/>
  <c r="I24" i="23"/>
  <c r="L26" i="23"/>
  <c r="H24" i="23"/>
  <c r="D24" i="23"/>
  <c r="J18" i="23"/>
  <c r="D19" i="23"/>
  <c r="M18" i="23"/>
  <c r="L18" i="23"/>
  <c r="K18" i="23"/>
  <c r="H19" i="23"/>
  <c r="G19" i="23"/>
  <c r="F19" i="23"/>
  <c r="E19" i="23"/>
  <c r="L19" i="23"/>
  <c r="K19" i="23"/>
  <c r="J19" i="23"/>
  <c r="I19" i="23"/>
  <c r="F20" i="23"/>
  <c r="E20" i="23"/>
  <c r="D20" i="23"/>
  <c r="M19" i="23"/>
  <c r="I20" i="23"/>
  <c r="E18" i="23"/>
  <c r="H20" i="23"/>
  <c r="G20" i="23"/>
  <c r="K20" i="23"/>
  <c r="G18" i="23"/>
  <c r="J20" i="23"/>
  <c r="F18" i="23"/>
  <c r="M20" i="23"/>
  <c r="I18" i="23"/>
  <c r="L20" i="23"/>
  <c r="H18" i="23"/>
  <c r="D18" i="23"/>
  <c r="G28" i="25"/>
  <c r="G26" i="25"/>
  <c r="G34" i="25"/>
  <c r="H26" i="25"/>
  <c r="H34" i="25"/>
  <c r="G40" i="25"/>
  <c r="G38" i="25"/>
  <c r="G32" i="25"/>
  <c r="I32" i="25"/>
  <c r="H40" i="25"/>
  <c r="H38" i="25"/>
  <c r="H32" i="25"/>
  <c r="H28" i="25"/>
  <c r="I28" i="25"/>
  <c r="I26" i="25"/>
  <c r="I38" i="25"/>
  <c r="I40" i="25"/>
  <c r="I34" i="25"/>
  <c r="J32" i="25"/>
  <c r="J28" i="25"/>
  <c r="J26" i="25"/>
  <c r="J38" i="25"/>
  <c r="J40" i="25"/>
  <c r="K38" i="25"/>
  <c r="K40" i="25"/>
  <c r="K32" i="25"/>
  <c r="K34" i="25"/>
  <c r="J34" i="25"/>
  <c r="L28" i="25"/>
  <c r="L26" i="25"/>
  <c r="L32" i="25"/>
  <c r="K28" i="25"/>
  <c r="K26" i="25"/>
  <c r="M28" i="25"/>
  <c r="M38" i="25"/>
  <c r="L34" i="25"/>
  <c r="L38" i="25"/>
  <c r="L40" i="25"/>
  <c r="M33" i="25"/>
  <c r="M26" i="25"/>
  <c r="M40" i="25"/>
  <c r="M32" i="25"/>
  <c r="M34" i="25"/>
  <c r="L33" i="25"/>
  <c r="L39" i="25"/>
  <c r="L27" i="25"/>
  <c r="M39" i="25"/>
  <c r="M27" i="25"/>
  <c r="J27" i="25"/>
  <c r="J39" i="25"/>
  <c r="K39" i="25"/>
  <c r="K33" i="25"/>
  <c r="K27" i="25"/>
  <c r="H27" i="25"/>
  <c r="I39" i="25"/>
  <c r="I33" i="25"/>
  <c r="I27" i="25"/>
  <c r="J33" i="25"/>
  <c r="G27" i="25"/>
  <c r="G39" i="25"/>
  <c r="G33" i="25"/>
  <c r="H39" i="25"/>
  <c r="H33" i="25"/>
  <c r="G20" i="25"/>
  <c r="I22" i="25"/>
  <c r="I20" i="25"/>
  <c r="H20" i="25"/>
  <c r="H22" i="25"/>
  <c r="G22" i="25"/>
  <c r="L20" i="25"/>
  <c r="K22" i="25"/>
  <c r="K20" i="25"/>
  <c r="J22" i="25"/>
  <c r="J20" i="25"/>
  <c r="L21" i="25"/>
  <c r="M21" i="25"/>
  <c r="M22" i="25"/>
  <c r="M20" i="25"/>
  <c r="L22" i="25"/>
  <c r="G21" i="25"/>
  <c r="H21" i="25"/>
  <c r="I21" i="25"/>
  <c r="J21" i="25"/>
  <c r="K21" i="25"/>
  <c r="G16" i="25"/>
  <c r="I16" i="25"/>
  <c r="I14" i="25"/>
  <c r="H16" i="25"/>
  <c r="H14" i="25"/>
  <c r="G14" i="25"/>
  <c r="L16" i="25"/>
  <c r="K16" i="25"/>
  <c r="K14" i="25"/>
  <c r="J16" i="25"/>
  <c r="J14" i="25"/>
  <c r="L15" i="25"/>
  <c r="M15" i="25"/>
  <c r="M14" i="25"/>
  <c r="M16" i="25"/>
  <c r="L14" i="25"/>
  <c r="G15" i="25"/>
  <c r="H15" i="25"/>
  <c r="I15" i="25"/>
  <c r="J15" i="25"/>
  <c r="K15" i="25"/>
  <c r="D39" i="25"/>
  <c r="F15" i="25"/>
  <c r="F27" i="25"/>
  <c r="D9" i="25"/>
  <c r="E39" i="25"/>
  <c r="D33" i="25"/>
  <c r="E33" i="25"/>
  <c r="D27" i="25"/>
  <c r="F21" i="25"/>
  <c r="E27" i="25"/>
  <c r="E9" i="25"/>
  <c r="D21" i="25"/>
  <c r="F33" i="25"/>
  <c r="E21" i="25"/>
  <c r="E15" i="25"/>
  <c r="F39" i="25"/>
  <c r="F9" i="25"/>
  <c r="D15" i="25"/>
  <c r="G9" i="25"/>
  <c r="D8" i="24"/>
  <c r="D14" i="24"/>
  <c r="E14" i="24"/>
  <c r="F14" i="24"/>
  <c r="D20" i="24"/>
  <c r="E8" i="24"/>
  <c r="F8" i="24"/>
  <c r="G8" i="24"/>
  <c r="G14" i="24"/>
  <c r="E20" i="24"/>
  <c r="F20" i="24"/>
  <c r="G20" i="24"/>
  <c r="H9" i="25"/>
  <c r="D7" i="23"/>
  <c r="E13" i="23"/>
  <c r="D13" i="23"/>
  <c r="F7" i="23"/>
  <c r="E7" i="23"/>
  <c r="F13" i="23"/>
  <c r="H14" i="24"/>
  <c r="H20" i="24"/>
  <c r="H8" i="24"/>
  <c r="G13" i="23"/>
  <c r="G7" i="23"/>
  <c r="I9" i="25"/>
  <c r="H31" i="23"/>
  <c r="H13" i="23"/>
  <c r="H7" i="23"/>
  <c r="I8" i="24"/>
  <c r="I20" i="24"/>
  <c r="I14" i="24"/>
  <c r="J9" i="25"/>
  <c r="I7" i="23"/>
  <c r="I13" i="23"/>
  <c r="I31" i="23"/>
  <c r="J8" i="24"/>
  <c r="J14" i="24"/>
  <c r="J20" i="24"/>
  <c r="K9" i="25"/>
  <c r="J7" i="23"/>
  <c r="K20" i="24"/>
  <c r="J31" i="23"/>
  <c r="J13" i="23"/>
  <c r="K14" i="24"/>
  <c r="K8" i="24"/>
  <c r="L9" i="25"/>
  <c r="K7" i="23"/>
  <c r="K13" i="23"/>
  <c r="L8" i="24"/>
  <c r="L14" i="24"/>
  <c r="L20" i="24"/>
  <c r="K31" i="23"/>
  <c r="M9" i="25"/>
  <c r="L7" i="23"/>
  <c r="L13" i="23"/>
  <c r="M8" i="24"/>
  <c r="M20" i="24"/>
  <c r="M14" i="24"/>
  <c r="M31" i="23"/>
  <c r="M7" i="23"/>
  <c r="M13" i="23"/>
  <c r="H13" i="22"/>
  <c r="G13" i="22"/>
  <c r="D13" i="22"/>
  <c r="F13" i="22"/>
  <c r="E13" i="22"/>
  <c r="M13" i="22"/>
  <c r="L13" i="22"/>
  <c r="K13" i="22"/>
  <c r="J13" i="22"/>
  <c r="I13" i="22"/>
  <c r="F7" i="22"/>
  <c r="H7" i="22"/>
  <c r="G7" i="22"/>
  <c r="D7" i="22"/>
  <c r="C7" i="22"/>
  <c r="E7" i="22"/>
  <c r="M7" i="22"/>
  <c r="L7" i="22"/>
  <c r="K7" i="22"/>
  <c r="J7" i="22"/>
  <c r="I7" i="22"/>
  <c r="M8" i="22"/>
  <c r="M6" i="22"/>
  <c r="M12" i="22"/>
  <c r="M14" i="22"/>
  <c r="M8" i="23"/>
  <c r="M30" i="23"/>
  <c r="M32" i="23"/>
  <c r="M14" i="23"/>
  <c r="M12" i="23"/>
  <c r="M6" i="23"/>
  <c r="L14" i="22"/>
  <c r="L8" i="22"/>
  <c r="L6" i="22"/>
  <c r="L12" i="22"/>
  <c r="M19" i="24"/>
  <c r="M21" i="24"/>
  <c r="M13" i="24"/>
  <c r="M15" i="24"/>
  <c r="M7" i="24"/>
  <c r="M9" i="24"/>
  <c r="K8" i="22"/>
  <c r="K6" i="22"/>
  <c r="K12" i="22"/>
  <c r="K14" i="22"/>
  <c r="L12" i="23"/>
  <c r="L6" i="23"/>
  <c r="L14" i="23"/>
  <c r="L30" i="23"/>
  <c r="L32" i="23"/>
  <c r="L8" i="23"/>
  <c r="M8" i="25"/>
  <c r="M10" i="25"/>
  <c r="K30" i="23"/>
  <c r="K32" i="23"/>
  <c r="L13" i="24"/>
  <c r="L15" i="24"/>
  <c r="L19" i="24"/>
  <c r="L21" i="24"/>
  <c r="L7" i="24"/>
  <c r="L9" i="24"/>
  <c r="K6" i="23"/>
  <c r="K12" i="23"/>
  <c r="K14" i="23"/>
  <c r="K8" i="23"/>
  <c r="J8" i="22"/>
  <c r="J14" i="22"/>
  <c r="J6" i="22"/>
  <c r="J12" i="22"/>
  <c r="L8" i="25"/>
  <c r="L10" i="25"/>
  <c r="K13" i="24"/>
  <c r="K15" i="24"/>
  <c r="I8" i="22"/>
  <c r="I14" i="22"/>
  <c r="I6" i="22"/>
  <c r="I12" i="22"/>
  <c r="K9" i="24"/>
  <c r="K7" i="24"/>
  <c r="J32" i="23"/>
  <c r="J14" i="23"/>
  <c r="J12" i="23"/>
  <c r="J30" i="23"/>
  <c r="K19" i="24"/>
  <c r="K21" i="24"/>
  <c r="J8" i="23"/>
  <c r="J6" i="23"/>
  <c r="K8" i="25"/>
  <c r="K10" i="25"/>
  <c r="J13" i="24"/>
  <c r="J15" i="24"/>
  <c r="J19" i="24"/>
  <c r="J21" i="24"/>
  <c r="J9" i="24"/>
  <c r="J7" i="24"/>
  <c r="I12" i="23"/>
  <c r="I8" i="23"/>
  <c r="I6" i="23"/>
  <c r="I30" i="23"/>
  <c r="I32" i="23"/>
  <c r="I14" i="23"/>
  <c r="H14" i="22"/>
  <c r="H12" i="22"/>
  <c r="H8" i="22"/>
  <c r="H6" i="22"/>
  <c r="J10" i="25"/>
  <c r="J8" i="25"/>
  <c r="G14" i="22"/>
  <c r="G12" i="22"/>
  <c r="G8" i="22"/>
  <c r="G6" i="22"/>
  <c r="I19" i="24"/>
  <c r="I21" i="24"/>
  <c r="I13" i="24"/>
  <c r="I15" i="24"/>
  <c r="I7" i="24"/>
  <c r="I9" i="24"/>
  <c r="H12" i="23"/>
  <c r="H32" i="23"/>
  <c r="H30" i="23"/>
  <c r="H6" i="23"/>
  <c r="H8" i="23"/>
  <c r="H14" i="23"/>
  <c r="C12" i="22"/>
  <c r="F14" i="22"/>
  <c r="D12" i="22"/>
  <c r="D14" i="22"/>
  <c r="E14" i="22"/>
  <c r="E8" i="22"/>
  <c r="C14" i="22"/>
  <c r="F8" i="22"/>
  <c r="D6" i="22"/>
  <c r="E6" i="22"/>
  <c r="D8" i="22"/>
  <c r="C6" i="22"/>
  <c r="C8" i="22"/>
  <c r="F6" i="22"/>
  <c r="C13" i="22"/>
  <c r="F12" i="22"/>
  <c r="E12" i="22"/>
  <c r="C6" i="23"/>
  <c r="C30" i="23"/>
  <c r="C12" i="23"/>
  <c r="C32" i="23"/>
  <c r="C14" i="23"/>
  <c r="C26" i="23"/>
  <c r="C24" i="23"/>
  <c r="C20" i="23"/>
  <c r="C8" i="23"/>
  <c r="C7" i="23"/>
  <c r="C18" i="23"/>
  <c r="C31" i="23"/>
  <c r="C19" i="23"/>
  <c r="C25" i="23"/>
  <c r="C13" i="23"/>
  <c r="I8" i="25"/>
  <c r="I10" i="25"/>
  <c r="G8" i="23"/>
  <c r="G12" i="23"/>
  <c r="G6" i="23"/>
  <c r="G32" i="23"/>
  <c r="G30" i="23"/>
  <c r="G14" i="23"/>
  <c r="H19" i="24"/>
  <c r="H21" i="24"/>
  <c r="H7" i="24"/>
  <c r="H9" i="24"/>
  <c r="H13" i="24"/>
  <c r="H15" i="24"/>
  <c r="F32" i="23"/>
  <c r="F30" i="23"/>
  <c r="E30" i="23"/>
  <c r="F8" i="23"/>
  <c r="E8" i="23"/>
  <c r="D8" i="23"/>
  <c r="F6" i="23"/>
  <c r="E14" i="23"/>
  <c r="D6" i="23"/>
  <c r="F14" i="23"/>
  <c r="D30" i="23"/>
  <c r="E6" i="23"/>
  <c r="D14" i="23"/>
  <c r="E12" i="23"/>
  <c r="F12" i="23"/>
  <c r="D12" i="23"/>
  <c r="C14" i="24"/>
  <c r="C7" i="24"/>
  <c r="C9" i="24"/>
  <c r="C19" i="24"/>
  <c r="C20" i="24"/>
  <c r="C13" i="24"/>
  <c r="C21" i="24"/>
  <c r="C8" i="24"/>
  <c r="C15" i="24"/>
  <c r="H8" i="25"/>
  <c r="H10" i="25"/>
  <c r="G13" i="24"/>
  <c r="G15" i="24"/>
  <c r="G9" i="24"/>
  <c r="G7" i="24"/>
  <c r="G19" i="24"/>
  <c r="G21" i="24"/>
  <c r="D13" i="24"/>
  <c r="F19" i="24"/>
  <c r="D21" i="24"/>
  <c r="E21" i="24"/>
  <c r="F21" i="24"/>
  <c r="D7" i="24"/>
  <c r="D15" i="24"/>
  <c r="E15" i="24"/>
  <c r="F15" i="24"/>
  <c r="E7" i="24"/>
  <c r="F9" i="24"/>
  <c r="F7" i="24"/>
  <c r="E13" i="24"/>
  <c r="F13" i="24"/>
  <c r="D19" i="24"/>
  <c r="E19" i="24"/>
  <c r="D9" i="24"/>
  <c r="E9" i="24"/>
  <c r="C26" i="25"/>
  <c r="C16" i="25"/>
  <c r="C32" i="25"/>
  <c r="C38" i="25"/>
  <c r="C8" i="25"/>
  <c r="C33" i="25"/>
  <c r="C10" i="25"/>
  <c r="C9" i="25"/>
  <c r="C39" i="25"/>
  <c r="C22" i="25"/>
  <c r="C21" i="25"/>
  <c r="C28" i="25"/>
  <c r="C15" i="25"/>
  <c r="C27" i="25"/>
  <c r="C40" i="25"/>
  <c r="C20" i="25"/>
  <c r="C14" i="25"/>
  <c r="C34" i="25"/>
  <c r="G8" i="25"/>
  <c r="G10" i="25"/>
  <c r="F8" i="25"/>
  <c r="D14" i="25"/>
  <c r="D8" i="25"/>
  <c r="E14" i="25"/>
  <c r="D28" i="25"/>
  <c r="E28" i="25"/>
  <c r="E8" i="25"/>
  <c r="E22" i="25"/>
  <c r="F38" i="25"/>
  <c r="F22" i="25"/>
  <c r="E34" i="25"/>
  <c r="F40" i="25"/>
  <c r="E38" i="25"/>
  <c r="D34" i="25"/>
  <c r="E40" i="25"/>
  <c r="D40" i="25"/>
  <c r="F14" i="25"/>
  <c r="E10" i="25"/>
  <c r="F10" i="25"/>
  <c r="E26" i="25"/>
  <c r="F26" i="25"/>
  <c r="D22" i="25"/>
  <c r="F32" i="25"/>
  <c r="F28" i="25"/>
  <c r="D26" i="25"/>
  <c r="F20" i="25"/>
  <c r="F16" i="25"/>
  <c r="D20" i="25"/>
  <c r="D16" i="25"/>
  <c r="E32" i="25"/>
  <c r="E20" i="25"/>
  <c r="E16" i="25"/>
  <c r="D10" i="25"/>
  <c r="D38" i="25"/>
  <c r="F34" i="25"/>
  <c r="D32" i="25"/>
  <c r="G37" i="25"/>
  <c r="G31" i="25"/>
  <c r="G25" i="25"/>
  <c r="G19" i="25"/>
  <c r="G13" i="25"/>
  <c r="G7" i="25"/>
  <c r="H7" i="25" l="1"/>
  <c r="H19" i="25"/>
  <c r="H13" i="25"/>
  <c r="H25" i="25"/>
  <c r="H31" i="25"/>
  <c r="H37" i="25"/>
  <c r="G18" i="24"/>
  <c r="G12" i="24"/>
  <c r="G6" i="24"/>
  <c r="H6" i="24" l="1"/>
  <c r="H12" i="24"/>
  <c r="H18" i="24"/>
  <c r="I37" i="25"/>
  <c r="I31" i="25"/>
  <c r="I25" i="25"/>
  <c r="I13" i="25"/>
  <c r="I19" i="25"/>
  <c r="I7" i="25"/>
  <c r="G29" i="23"/>
  <c r="G23" i="23"/>
  <c r="H23" i="23" s="1"/>
  <c r="I23" i="23" s="1"/>
  <c r="J23" i="23" s="1"/>
  <c r="K23" i="23" s="1"/>
  <c r="L23" i="23" s="1"/>
  <c r="M23" i="23" s="1"/>
  <c r="G17" i="23"/>
  <c r="H17" i="23" s="1"/>
  <c r="I17" i="23" s="1"/>
  <c r="J17" i="23" s="1"/>
  <c r="K17" i="23" s="1"/>
  <c r="L17" i="23" s="1"/>
  <c r="M17" i="23" s="1"/>
  <c r="G11" i="23"/>
  <c r="G5" i="23"/>
  <c r="H5" i="23" l="1"/>
  <c r="H11" i="23"/>
  <c r="H29" i="23"/>
  <c r="I12" i="24"/>
  <c r="I6" i="24"/>
  <c r="I18" i="24"/>
  <c r="J37" i="25"/>
  <c r="J7" i="25"/>
  <c r="J19" i="25"/>
  <c r="J13" i="25"/>
  <c r="J25" i="25"/>
  <c r="J31" i="25"/>
  <c r="G11" i="22"/>
  <c r="H11" i="22" s="1"/>
  <c r="I11" i="22" s="1"/>
  <c r="J11" i="22" s="1"/>
  <c r="K11" i="22" s="1"/>
  <c r="L11" i="22" s="1"/>
  <c r="M11" i="22" s="1"/>
  <c r="G5" i="22"/>
  <c r="H5" i="22" l="1"/>
  <c r="I29" i="23"/>
  <c r="I11" i="23"/>
  <c r="I5" i="23"/>
  <c r="J18" i="24"/>
  <c r="J6" i="24"/>
  <c r="J12" i="24"/>
  <c r="K37" i="25"/>
  <c r="K31" i="25"/>
  <c r="K25" i="25"/>
  <c r="K13" i="25"/>
  <c r="K19" i="25"/>
  <c r="K7" i="25"/>
  <c r="H53" i="8"/>
  <c r="I53" i="8"/>
  <c r="G53" i="8"/>
  <c r="H51" i="8"/>
  <c r="I51" i="8"/>
  <c r="H52" i="8"/>
  <c r="I52" i="8"/>
  <c r="J52" i="8"/>
  <c r="G52" i="8"/>
  <c r="G51" i="8"/>
  <c r="K21" i="4"/>
  <c r="J39" i="4"/>
  <c r="K35" i="4"/>
  <c r="L35" i="4" s="1"/>
  <c r="M35" i="4" s="1"/>
  <c r="N35" i="4" s="1"/>
  <c r="O35" i="4" s="1"/>
  <c r="L19" i="8"/>
  <c r="M19" i="8" s="1"/>
  <c r="N19" i="8" s="1"/>
  <c r="K19" i="8"/>
  <c r="J28" i="9"/>
  <c r="K28" i="9"/>
  <c r="L28" i="9"/>
  <c r="M28" i="9"/>
  <c r="J29" i="9"/>
  <c r="K29" i="9"/>
  <c r="L29" i="9"/>
  <c r="M29" i="9"/>
  <c r="I29" i="9"/>
  <c r="I28" i="9"/>
  <c r="I13" i="9"/>
  <c r="J5" i="23" l="1"/>
  <c r="J11" i="23"/>
  <c r="J29" i="23"/>
  <c r="I5" i="22"/>
  <c r="K12" i="24"/>
  <c r="K6" i="24"/>
  <c r="K18" i="24"/>
  <c r="L7" i="25"/>
  <c r="L19" i="25"/>
  <c r="L13" i="25"/>
  <c r="L25" i="25"/>
  <c r="L31" i="25"/>
  <c r="L37" i="25"/>
  <c r="G4" i="20"/>
  <c r="H4" i="20" s="1"/>
  <c r="I4" i="20" s="1"/>
  <c r="J4" i="20" s="1"/>
  <c r="N15" i="20"/>
  <c r="D9" i="19"/>
  <c r="H14" i="19" s="1"/>
  <c r="D11" i="19"/>
  <c r="D12" i="19"/>
  <c r="E20" i="19" s="1"/>
  <c r="H12" i="19"/>
  <c r="H13" i="19"/>
  <c r="E22" i="18"/>
  <c r="F22" i="18"/>
  <c r="E23" i="18"/>
  <c r="F23" i="18"/>
  <c r="E24" i="18"/>
  <c r="F24" i="18"/>
  <c r="E25" i="18"/>
  <c r="F25" i="18"/>
  <c r="E26" i="18"/>
  <c r="F26" i="18"/>
  <c r="E27" i="18"/>
  <c r="F27" i="18"/>
  <c r="E28" i="18"/>
  <c r="F28" i="18"/>
  <c r="E29" i="18"/>
  <c r="F29" i="18"/>
  <c r="E30" i="18"/>
  <c r="F30" i="18"/>
  <c r="E31" i="18"/>
  <c r="F31" i="18"/>
  <c r="E32" i="18"/>
  <c r="F32" i="18"/>
  <c r="E33" i="18"/>
  <c r="F33" i="18"/>
  <c r="E34" i="18"/>
  <c r="F34" i="18"/>
  <c r="E35" i="18"/>
  <c r="F35" i="18"/>
  <c r="E36" i="18"/>
  <c r="F36" i="18"/>
  <c r="E37" i="18"/>
  <c r="F37" i="18"/>
  <c r="E38" i="18"/>
  <c r="F38" i="18"/>
  <c r="E39" i="18"/>
  <c r="F39" i="18"/>
  <c r="E40" i="18"/>
  <c r="F40" i="18"/>
  <c r="E41" i="18"/>
  <c r="F41" i="18"/>
  <c r="E42" i="18"/>
  <c r="F42" i="18"/>
  <c r="E43" i="18"/>
  <c r="F43" i="18"/>
  <c r="E44" i="18"/>
  <c r="F44" i="18"/>
  <c r="E45" i="18"/>
  <c r="F45" i="18"/>
  <c r="E46" i="18"/>
  <c r="F46" i="18"/>
  <c r="E47" i="18"/>
  <c r="F47" i="18"/>
  <c r="E48" i="18"/>
  <c r="F48" i="18"/>
  <c r="E49" i="18"/>
  <c r="F49" i="18"/>
  <c r="E50" i="18"/>
  <c r="F50" i="18"/>
  <c r="E51" i="18"/>
  <c r="F51" i="18"/>
  <c r="E52" i="18"/>
  <c r="F52" i="18"/>
  <c r="E53" i="18"/>
  <c r="F53" i="18"/>
  <c r="E54" i="18"/>
  <c r="F54" i="18"/>
  <c r="E55" i="18"/>
  <c r="F55" i="18"/>
  <c r="E56" i="18"/>
  <c r="F56" i="18"/>
  <c r="E57" i="18"/>
  <c r="F57" i="18"/>
  <c r="E58" i="18"/>
  <c r="F58" i="18"/>
  <c r="E59" i="18"/>
  <c r="F59" i="18"/>
  <c r="E60" i="18"/>
  <c r="F60" i="18"/>
  <c r="E61" i="18"/>
  <c r="F61" i="18"/>
  <c r="E62" i="18"/>
  <c r="F62" i="18"/>
  <c r="E63" i="18"/>
  <c r="F63" i="18"/>
  <c r="E64" i="18"/>
  <c r="F64" i="18"/>
  <c r="E65" i="18"/>
  <c r="F65" i="18"/>
  <c r="E66" i="18"/>
  <c r="F66" i="18"/>
  <c r="E67" i="18"/>
  <c r="F67" i="18"/>
  <c r="E68" i="18"/>
  <c r="F68" i="18"/>
  <c r="E69" i="18"/>
  <c r="F69" i="18"/>
  <c r="E70" i="18"/>
  <c r="F70" i="18"/>
  <c r="E71" i="18"/>
  <c r="F71" i="18"/>
  <c r="E72" i="18"/>
  <c r="F72" i="18"/>
  <c r="E73" i="18"/>
  <c r="F73" i="18"/>
  <c r="E74" i="18"/>
  <c r="F74" i="18"/>
  <c r="E75" i="18"/>
  <c r="F75" i="18"/>
  <c r="E76" i="18"/>
  <c r="F76" i="18"/>
  <c r="E77" i="18"/>
  <c r="F77" i="18"/>
  <c r="E78" i="18"/>
  <c r="F78" i="18"/>
  <c r="E79" i="18"/>
  <c r="F79" i="18"/>
  <c r="E80" i="18"/>
  <c r="F80" i="18"/>
  <c r="F7" i="16"/>
  <c r="I7" i="16" s="1"/>
  <c r="G7" i="16"/>
  <c r="H7" i="16"/>
  <c r="N7" i="16"/>
  <c r="N13" i="16" s="1"/>
  <c r="F8" i="16"/>
  <c r="I8" i="16"/>
  <c r="L8" i="16"/>
  <c r="M8" i="16"/>
  <c r="N8" i="16"/>
  <c r="F9" i="16"/>
  <c r="I9" i="16"/>
  <c r="N9" i="16"/>
  <c r="D11" i="16"/>
  <c r="E11" i="16"/>
  <c r="K11" i="16"/>
  <c r="D12" i="16"/>
  <c r="E12" i="16"/>
  <c r="K12" i="16"/>
  <c r="D13" i="16"/>
  <c r="E13" i="16"/>
  <c r="K13" i="16"/>
  <c r="D14" i="16"/>
  <c r="E14" i="16"/>
  <c r="K14" i="16"/>
  <c r="M18" i="16"/>
  <c r="M22" i="16" s="1"/>
  <c r="G19" i="16"/>
  <c r="H19" i="16"/>
  <c r="I19" i="16"/>
  <c r="J19" i="16"/>
  <c r="K19" i="16"/>
  <c r="L19" i="16"/>
  <c r="G20" i="16"/>
  <c r="H20" i="16"/>
  <c r="I20" i="16"/>
  <c r="J20" i="16"/>
  <c r="K20" i="16"/>
  <c r="L20" i="16"/>
  <c r="C34" i="16"/>
  <c r="F34" i="16"/>
  <c r="I34" i="16"/>
  <c r="L34" i="16"/>
  <c r="K4" i="14"/>
  <c r="L4" i="14"/>
  <c r="M4" i="14"/>
  <c r="N4" i="14" s="1"/>
  <c r="O4" i="14" s="1"/>
  <c r="J8" i="14"/>
  <c r="K8" i="14"/>
  <c r="F9" i="14"/>
  <c r="G9" i="14"/>
  <c r="G13" i="14" s="1"/>
  <c r="H9" i="14"/>
  <c r="I9" i="14"/>
  <c r="I13" i="14" s="1"/>
  <c r="J9" i="14"/>
  <c r="J13" i="14" s="1"/>
  <c r="F11" i="14"/>
  <c r="G11" i="14"/>
  <c r="H8" i="14" s="1"/>
  <c r="H10" i="14" s="1"/>
  <c r="H14" i="14" s="1"/>
  <c r="H11" i="14"/>
  <c r="I8" i="14" s="1"/>
  <c r="I10" i="14" s="1"/>
  <c r="I14" i="14" s="1"/>
  <c r="I11" i="14"/>
  <c r="J11" i="14"/>
  <c r="F13" i="14"/>
  <c r="H13" i="14"/>
  <c r="K13" i="14"/>
  <c r="F20" i="14"/>
  <c r="F23" i="14" s="1"/>
  <c r="G20" i="14"/>
  <c r="G23" i="14" s="1"/>
  <c r="H20" i="14"/>
  <c r="H23" i="14" s="1"/>
  <c r="I20" i="14"/>
  <c r="I23" i="14" s="1"/>
  <c r="J20" i="14"/>
  <c r="J23" i="14" s="1"/>
  <c r="K23" i="14" s="1"/>
  <c r="L23" i="14" s="1"/>
  <c r="M23" i="14" s="1"/>
  <c r="N23" i="14" s="1"/>
  <c r="F21" i="14"/>
  <c r="G18" i="14" s="1"/>
  <c r="G21" i="14"/>
  <c r="H18" i="14" s="1"/>
  <c r="H21" i="14"/>
  <c r="I18" i="14" s="1"/>
  <c r="I21" i="14"/>
  <c r="J18" i="14" s="1"/>
  <c r="J21" i="14"/>
  <c r="K18" i="14" s="1"/>
  <c r="K4" i="13"/>
  <c r="L4" i="13" s="1"/>
  <c r="M4" i="13" s="1"/>
  <c r="N4" i="13"/>
  <c r="O4" i="13" s="1"/>
  <c r="F8" i="13"/>
  <c r="G8" i="13"/>
  <c r="H8" i="13"/>
  <c r="I8" i="13"/>
  <c r="J8" i="13"/>
  <c r="J12" i="13" s="1"/>
  <c r="F9" i="13"/>
  <c r="G9" i="13"/>
  <c r="H9" i="13"/>
  <c r="I9" i="13"/>
  <c r="J9" i="13"/>
  <c r="F10" i="13"/>
  <c r="G10" i="13"/>
  <c r="H10" i="13"/>
  <c r="I10" i="13"/>
  <c r="J10" i="13"/>
  <c r="F11" i="13"/>
  <c r="F12" i="13" s="1"/>
  <c r="G11" i="13"/>
  <c r="G12" i="13" s="1"/>
  <c r="H11" i="13"/>
  <c r="I11" i="13"/>
  <c r="J11" i="13"/>
  <c r="H12" i="13"/>
  <c r="I12" i="13"/>
  <c r="F15" i="13"/>
  <c r="G15" i="13"/>
  <c r="H15" i="13"/>
  <c r="H18" i="13" s="1"/>
  <c r="I15" i="13"/>
  <c r="J15" i="13"/>
  <c r="F16" i="13"/>
  <c r="G16" i="13"/>
  <c r="H16" i="13"/>
  <c r="I16" i="13"/>
  <c r="J16" i="13"/>
  <c r="F17" i="13"/>
  <c r="G17" i="13"/>
  <c r="H17" i="13"/>
  <c r="I17" i="13"/>
  <c r="J17" i="13"/>
  <c r="F18" i="13"/>
  <c r="G18" i="13"/>
  <c r="F24" i="13"/>
  <c r="F27" i="13" s="1"/>
  <c r="G24" i="13"/>
  <c r="G29" i="13" s="1"/>
  <c r="H24" i="13"/>
  <c r="H27" i="13" s="1"/>
  <c r="I24" i="13"/>
  <c r="I28" i="13" s="1"/>
  <c r="J24" i="13"/>
  <c r="J27" i="13" s="1"/>
  <c r="K27" i="13" s="1"/>
  <c r="F25" i="13"/>
  <c r="F30" i="13" s="1"/>
  <c r="G25" i="13"/>
  <c r="G30" i="13" s="1"/>
  <c r="H25" i="13"/>
  <c r="H26" i="13" s="1"/>
  <c r="I25" i="13"/>
  <c r="I26" i="13" s="1"/>
  <c r="J25" i="13"/>
  <c r="J26" i="13" s="1"/>
  <c r="K32" i="13"/>
  <c r="L32" i="13"/>
  <c r="M32" i="13" s="1"/>
  <c r="N32" i="13" s="1"/>
  <c r="O32" i="13" s="1"/>
  <c r="G34" i="13"/>
  <c r="K4" i="12"/>
  <c r="L4" i="12"/>
  <c r="M4" i="12"/>
  <c r="N4" i="12"/>
  <c r="O4" i="12" s="1"/>
  <c r="G8" i="12"/>
  <c r="F10" i="12"/>
  <c r="F16" i="12" s="1"/>
  <c r="G10" i="12"/>
  <c r="G16" i="12" s="1"/>
  <c r="H10" i="12"/>
  <c r="H16" i="12" s="1"/>
  <c r="I10" i="12"/>
  <c r="I16" i="12" s="1"/>
  <c r="J10" i="12"/>
  <c r="J16" i="12" s="1"/>
  <c r="K16" i="12" s="1"/>
  <c r="L16" i="12" s="1"/>
  <c r="F11" i="12"/>
  <c r="F17" i="12" s="1"/>
  <c r="G11" i="12"/>
  <c r="G17" i="12" s="1"/>
  <c r="H11" i="12"/>
  <c r="H17" i="12" s="1"/>
  <c r="I11" i="12"/>
  <c r="I17" i="12" s="1"/>
  <c r="J11" i="12"/>
  <c r="J17" i="12" s="1"/>
  <c r="K17" i="12" s="1"/>
  <c r="L17" i="12" s="1"/>
  <c r="M17" i="12" s="1"/>
  <c r="N17" i="12" s="1"/>
  <c r="O17" i="12" s="1"/>
  <c r="F12" i="12"/>
  <c r="F18" i="12" s="1"/>
  <c r="G12" i="12"/>
  <c r="G18" i="12" s="1"/>
  <c r="H12" i="12"/>
  <c r="H18" i="12" s="1"/>
  <c r="I12" i="12"/>
  <c r="I18" i="12" s="1"/>
  <c r="J12" i="12"/>
  <c r="J18" i="12" s="1"/>
  <c r="K18" i="12" s="1"/>
  <c r="L18" i="12" s="1"/>
  <c r="K4" i="11"/>
  <c r="L4" i="11" s="1"/>
  <c r="M4" i="11" s="1"/>
  <c r="N4" i="11" s="1"/>
  <c r="O4" i="11"/>
  <c r="G8" i="11"/>
  <c r="G11" i="11" s="1"/>
  <c r="H8" i="11"/>
  <c r="H11" i="11" s="1"/>
  <c r="I8" i="11"/>
  <c r="I11" i="11" s="1"/>
  <c r="J8" i="11" s="1"/>
  <c r="F10" i="11"/>
  <c r="F11" i="11" s="1"/>
  <c r="G14" i="11"/>
  <c r="G16" i="11" s="1"/>
  <c r="H14" i="11"/>
  <c r="I14" i="11"/>
  <c r="I16" i="11" s="1"/>
  <c r="J14" i="11"/>
  <c r="K14" i="11"/>
  <c r="H15" i="11"/>
  <c r="J15" i="11"/>
  <c r="F16" i="11"/>
  <c r="G20" i="11"/>
  <c r="G21" i="11" s="1"/>
  <c r="H20" i="11"/>
  <c r="H21" i="11" s="1"/>
  <c r="I20" i="11"/>
  <c r="J20" i="11"/>
  <c r="J21" i="11" s="1"/>
  <c r="K20" i="11"/>
  <c r="F22" i="11"/>
  <c r="I22" i="11"/>
  <c r="K23" i="11"/>
  <c r="F27" i="11"/>
  <c r="G27" i="11"/>
  <c r="H27" i="11"/>
  <c r="H32" i="11" s="1"/>
  <c r="I27" i="11"/>
  <c r="I32" i="11" s="1"/>
  <c r="J27" i="11"/>
  <c r="J32" i="11" s="1"/>
  <c r="K32" i="11" s="1"/>
  <c r="F30" i="11"/>
  <c r="J30" i="11"/>
  <c r="K30" i="11" s="1"/>
  <c r="L30" i="11"/>
  <c r="M30" i="11"/>
  <c r="N30" i="11"/>
  <c r="O30" i="11"/>
  <c r="F31" i="11"/>
  <c r="G31" i="11"/>
  <c r="H31" i="11"/>
  <c r="I31" i="11"/>
  <c r="J31" i="11"/>
  <c r="K31" i="11" s="1"/>
  <c r="L31" i="11" s="1"/>
  <c r="F35" i="11"/>
  <c r="G35" i="11"/>
  <c r="J35" i="11"/>
  <c r="F40" i="11"/>
  <c r="G40" i="11"/>
  <c r="G30" i="11" s="1"/>
  <c r="H40" i="11"/>
  <c r="H30" i="11" s="1"/>
  <c r="I40" i="11"/>
  <c r="J40" i="11"/>
  <c r="F41" i="11"/>
  <c r="G41" i="11"/>
  <c r="H41" i="11"/>
  <c r="I41" i="11"/>
  <c r="J41" i="11"/>
  <c r="F42" i="11"/>
  <c r="G42" i="11"/>
  <c r="H42" i="11"/>
  <c r="J42" i="11"/>
  <c r="F46" i="11"/>
  <c r="G46" i="11"/>
  <c r="H46" i="11"/>
  <c r="I46" i="11"/>
  <c r="J46" i="11"/>
  <c r="F57" i="11"/>
  <c r="G57" i="11"/>
  <c r="H57" i="11"/>
  <c r="I57" i="11"/>
  <c r="J57" i="11"/>
  <c r="F63" i="11"/>
  <c r="G63" i="11"/>
  <c r="H63" i="11"/>
  <c r="I63" i="11"/>
  <c r="J63" i="11"/>
  <c r="K63" i="11"/>
  <c r="L63" i="11" s="1"/>
  <c r="M63" i="11" s="1"/>
  <c r="N63" i="11" s="1"/>
  <c r="O63" i="11" s="1"/>
  <c r="G70" i="11"/>
  <c r="I68" i="11" s="1"/>
  <c r="H70" i="11"/>
  <c r="I4" i="9"/>
  <c r="J4" i="9"/>
  <c r="K4" i="9" s="1"/>
  <c r="L4" i="9" s="1"/>
  <c r="M4" i="9" s="1"/>
  <c r="F7" i="9"/>
  <c r="G7" i="9"/>
  <c r="H7" i="9"/>
  <c r="F9" i="9"/>
  <c r="G9" i="9"/>
  <c r="H9" i="9"/>
  <c r="I10" i="9"/>
  <c r="J11" i="9"/>
  <c r="J10" i="9" s="1"/>
  <c r="K11" i="9"/>
  <c r="K10" i="9" s="1"/>
  <c r="L11" i="9"/>
  <c r="J12" i="9"/>
  <c r="K12" i="9"/>
  <c r="L12" i="9" s="1"/>
  <c r="M12" i="9" s="1"/>
  <c r="J13" i="9"/>
  <c r="K13" i="9" s="1"/>
  <c r="L13" i="9" s="1"/>
  <c r="M13" i="9" s="1"/>
  <c r="F15" i="9"/>
  <c r="G15" i="9"/>
  <c r="H15" i="9"/>
  <c r="I16" i="9"/>
  <c r="J17" i="9"/>
  <c r="J16" i="9" s="1"/>
  <c r="K17" i="9"/>
  <c r="K16" i="9" s="1"/>
  <c r="L17" i="9"/>
  <c r="L16" i="9" s="1"/>
  <c r="M17" i="9"/>
  <c r="M16" i="9" s="1"/>
  <c r="J18" i="9"/>
  <c r="K18" i="9" s="1"/>
  <c r="L18" i="9" s="1"/>
  <c r="M18" i="9" s="1"/>
  <c r="J19" i="9"/>
  <c r="K19" i="9"/>
  <c r="L19" i="9"/>
  <c r="M19" i="9"/>
  <c r="I21" i="9"/>
  <c r="K60" i="11" s="1"/>
  <c r="J21" i="9"/>
  <c r="K21" i="9"/>
  <c r="L21" i="9"/>
  <c r="M21" i="9"/>
  <c r="I26" i="9"/>
  <c r="J26" i="9"/>
  <c r="K26" i="9"/>
  <c r="L26" i="9"/>
  <c r="M26" i="9"/>
  <c r="N6" i="20" s="1"/>
  <c r="J4" i="8"/>
  <c r="K4" i="8"/>
  <c r="L4" i="8"/>
  <c r="M4" i="8"/>
  <c r="N4" i="8"/>
  <c r="G7" i="8"/>
  <c r="H7" i="8"/>
  <c r="I7" i="8"/>
  <c r="I8" i="8" s="1"/>
  <c r="J7" i="8"/>
  <c r="H8" i="8"/>
  <c r="H13" i="8"/>
  <c r="I13" i="8"/>
  <c r="H16" i="8"/>
  <c r="I16" i="8"/>
  <c r="J16" i="8"/>
  <c r="J15" i="8" s="1"/>
  <c r="K16" i="8"/>
  <c r="L16" i="8"/>
  <c r="M16" i="8"/>
  <c r="N16" i="8"/>
  <c r="K17" i="8"/>
  <c r="L17" i="8"/>
  <c r="M17" i="8" s="1"/>
  <c r="N17" i="8" s="1"/>
  <c r="K18" i="8"/>
  <c r="L18" i="8"/>
  <c r="M18" i="8"/>
  <c r="N18" i="8" s="1"/>
  <c r="G21" i="8"/>
  <c r="H21" i="8"/>
  <c r="I21" i="8"/>
  <c r="J21" i="8"/>
  <c r="J12" i="8" s="1"/>
  <c r="J13" i="8" s="1"/>
  <c r="K21" i="8"/>
  <c r="J25" i="8"/>
  <c r="H26" i="8"/>
  <c r="I26" i="8"/>
  <c r="J26" i="8"/>
  <c r="H29" i="8"/>
  <c r="I29" i="8"/>
  <c r="J29" i="8"/>
  <c r="J28" i="8" s="1"/>
  <c r="K25" i="8" s="1"/>
  <c r="K29" i="8"/>
  <c r="L29" i="8"/>
  <c r="M29" i="8"/>
  <c r="N29" i="8"/>
  <c r="H34" i="8"/>
  <c r="I34" i="8"/>
  <c r="L34" i="8"/>
  <c r="M34" i="8"/>
  <c r="H39" i="8"/>
  <c r="I39" i="8"/>
  <c r="H42" i="8"/>
  <c r="I42" i="8"/>
  <c r="J42" i="8"/>
  <c r="J41" i="8" s="1"/>
  <c r="K43" i="8"/>
  <c r="K42" i="8" s="1"/>
  <c r="L43" i="8"/>
  <c r="L42" i="8" s="1"/>
  <c r="M43" i="8"/>
  <c r="N43" i="8" s="1"/>
  <c r="N42" i="8" s="1"/>
  <c r="K44" i="8"/>
  <c r="L44" i="8" s="1"/>
  <c r="M44" i="8" s="1"/>
  <c r="N44" i="8" s="1"/>
  <c r="G47" i="8"/>
  <c r="L47" i="8" s="1"/>
  <c r="H47" i="8"/>
  <c r="I47" i="8"/>
  <c r="J47" i="8"/>
  <c r="J38" i="8" s="1"/>
  <c r="J39" i="8" s="1"/>
  <c r="K47" i="8"/>
  <c r="M47" i="8"/>
  <c r="N47" i="8"/>
  <c r="K4" i="6"/>
  <c r="L4" i="6"/>
  <c r="M4" i="6"/>
  <c r="N4" i="6"/>
  <c r="O4" i="6" s="1"/>
  <c r="F13" i="6"/>
  <c r="G13" i="6"/>
  <c r="G10" i="11" s="1"/>
  <c r="H13" i="6"/>
  <c r="H10" i="11" s="1"/>
  <c r="I13" i="6"/>
  <c r="I10" i="11" s="1"/>
  <c r="J13" i="6"/>
  <c r="J10" i="11" s="1"/>
  <c r="F17" i="6"/>
  <c r="G17" i="6"/>
  <c r="H17" i="6"/>
  <c r="I17" i="6"/>
  <c r="J17" i="6"/>
  <c r="F28" i="6"/>
  <c r="F31" i="6" s="1"/>
  <c r="G28" i="6"/>
  <c r="H28" i="6"/>
  <c r="I28" i="6"/>
  <c r="J28" i="6"/>
  <c r="K4" i="5"/>
  <c r="L4" i="5"/>
  <c r="M4" i="5"/>
  <c r="N4" i="5" s="1"/>
  <c r="O4" i="5" s="1"/>
  <c r="F13" i="5"/>
  <c r="F18" i="5" s="1"/>
  <c r="F41" i="5" s="1"/>
  <c r="G13" i="5"/>
  <c r="H13" i="5"/>
  <c r="H18" i="5" s="1"/>
  <c r="I13" i="5"/>
  <c r="J13" i="5"/>
  <c r="I17" i="5"/>
  <c r="J17" i="5"/>
  <c r="G18" i="5"/>
  <c r="F26" i="5"/>
  <c r="F30" i="5" s="1"/>
  <c r="F39" i="5" s="1"/>
  <c r="G26" i="5"/>
  <c r="H26" i="5"/>
  <c r="H30" i="5" s="1"/>
  <c r="H39" i="5" s="1"/>
  <c r="I26" i="5"/>
  <c r="I30" i="5" s="1"/>
  <c r="I39" i="5" s="1"/>
  <c r="J26" i="5"/>
  <c r="G30" i="5"/>
  <c r="J30" i="5"/>
  <c r="J39" i="5" s="1"/>
  <c r="K32" i="5"/>
  <c r="L32" i="5"/>
  <c r="M32" i="5"/>
  <c r="N32" i="5"/>
  <c r="O32" i="5"/>
  <c r="F37" i="5"/>
  <c r="F14" i="12" s="1"/>
  <c r="G37" i="5"/>
  <c r="H37" i="5"/>
  <c r="I37" i="5"/>
  <c r="J37" i="5"/>
  <c r="H41" i="5"/>
  <c r="K4" i="4"/>
  <c r="L4" i="4" s="1"/>
  <c r="M4" i="4" s="1"/>
  <c r="N4" i="4" s="1"/>
  <c r="O4" i="4" s="1"/>
  <c r="F9" i="4"/>
  <c r="F10" i="4" s="1"/>
  <c r="G9" i="4"/>
  <c r="G10" i="4" s="1"/>
  <c r="G11" i="4" s="1"/>
  <c r="H9" i="4"/>
  <c r="H10" i="4" s="1"/>
  <c r="H11" i="4" s="1"/>
  <c r="I9" i="4"/>
  <c r="I10" i="4" s="1"/>
  <c r="I16" i="4" s="1"/>
  <c r="I22" i="4" s="1"/>
  <c r="I26" i="4" s="1"/>
  <c r="I30" i="4" s="1"/>
  <c r="J9" i="4"/>
  <c r="J10" i="4" s="1"/>
  <c r="J11" i="4" s="1"/>
  <c r="L21" i="4"/>
  <c r="M21" i="4"/>
  <c r="N21" i="4"/>
  <c r="O21" i="4"/>
  <c r="K29" i="4"/>
  <c r="K26" i="6" s="1"/>
  <c r="K35" i="5" s="1"/>
  <c r="L29" i="4"/>
  <c r="L26" i="6" s="1"/>
  <c r="M29" i="4"/>
  <c r="M26" i="6" s="1"/>
  <c r="N29" i="4"/>
  <c r="N26" i="6" s="1"/>
  <c r="O29" i="4"/>
  <c r="O26" i="6" s="1"/>
  <c r="F44" i="4"/>
  <c r="G44" i="4"/>
  <c r="H44" i="4"/>
  <c r="I44" i="4"/>
  <c r="J44" i="4"/>
  <c r="F45" i="4"/>
  <c r="G45" i="4"/>
  <c r="H45" i="4"/>
  <c r="I45" i="4"/>
  <c r="J45" i="4"/>
  <c r="F46" i="4"/>
  <c r="G46" i="4"/>
  <c r="H46" i="4"/>
  <c r="I46" i="4"/>
  <c r="J46" i="4"/>
  <c r="F47" i="4"/>
  <c r="G47" i="4"/>
  <c r="H47" i="4"/>
  <c r="I47" i="4"/>
  <c r="J47" i="4"/>
  <c r="F48" i="4"/>
  <c r="G48" i="4"/>
  <c r="H48" i="4"/>
  <c r="I48" i="4"/>
  <c r="J48" i="4"/>
  <c r="K49" i="4"/>
  <c r="L49" i="4"/>
  <c r="M49" i="4"/>
  <c r="N49" i="4"/>
  <c r="O49" i="4"/>
  <c r="G53" i="4"/>
  <c r="H53" i="4"/>
  <c r="I53" i="4"/>
  <c r="J53" i="4"/>
  <c r="K55" i="4"/>
  <c r="L55" i="4"/>
  <c r="M55" i="4"/>
  <c r="N55" i="4"/>
  <c r="O55" i="4"/>
  <c r="J5" i="22" l="1"/>
  <c r="K29" i="23"/>
  <c r="K11" i="23"/>
  <c r="K5" i="23"/>
  <c r="L18" i="24"/>
  <c r="L6" i="24"/>
  <c r="L12" i="24"/>
  <c r="M7" i="25"/>
  <c r="M37" i="25"/>
  <c r="M31" i="25"/>
  <c r="M25" i="25"/>
  <c r="M13" i="25"/>
  <c r="M19" i="25"/>
  <c r="J51" i="8"/>
  <c r="J53" i="8" s="1"/>
  <c r="F23" i="20"/>
  <c r="G23" i="20" s="1"/>
  <c r="H23" i="20" s="1"/>
  <c r="I23" i="20" s="1"/>
  <c r="J23" i="20" s="1"/>
  <c r="H16" i="9"/>
  <c r="N14" i="16"/>
  <c r="N11" i="16"/>
  <c r="F16" i="9"/>
  <c r="F28" i="13"/>
  <c r="I9" i="12"/>
  <c r="I34" i="4"/>
  <c r="I36" i="4" s="1"/>
  <c r="I34" i="13"/>
  <c r="G27" i="13"/>
  <c r="I33" i="13"/>
  <c r="I30" i="13"/>
  <c r="F29" i="13"/>
  <c r="F35" i="13"/>
  <c r="H10" i="9"/>
  <c r="J35" i="13"/>
  <c r="K35" i="13" s="1"/>
  <c r="L35" i="13" s="1"/>
  <c r="M35" i="13" s="1"/>
  <c r="N35" i="13" s="1"/>
  <c r="O35" i="13" s="1"/>
  <c r="G28" i="13"/>
  <c r="G16" i="4"/>
  <c r="G17" i="4" s="1"/>
  <c r="H30" i="13"/>
  <c r="G26" i="13"/>
  <c r="J16" i="4"/>
  <c r="J17" i="4" s="1"/>
  <c r="L35" i="5"/>
  <c r="M35" i="5" s="1"/>
  <c r="N35" i="5" s="1"/>
  <c r="O35" i="5" s="1"/>
  <c r="J28" i="13"/>
  <c r="K28" i="13" s="1"/>
  <c r="L28" i="13" s="1"/>
  <c r="H35" i="13"/>
  <c r="J29" i="13"/>
  <c r="K29" i="13" s="1"/>
  <c r="L29" i="13" s="1"/>
  <c r="M29" i="13" s="1"/>
  <c r="G35" i="13"/>
  <c r="F19" i="14"/>
  <c r="H28" i="13"/>
  <c r="H16" i="4"/>
  <c r="H17" i="4" s="1"/>
  <c r="F10" i="9"/>
  <c r="J33" i="13"/>
  <c r="J30" i="13"/>
  <c r="K30" i="13" s="1"/>
  <c r="L30" i="13" s="1"/>
  <c r="M30" i="13" s="1"/>
  <c r="N30" i="13" s="1"/>
  <c r="H34" i="13"/>
  <c r="G16" i="9"/>
  <c r="H29" i="13"/>
  <c r="G10" i="9"/>
  <c r="G19" i="14"/>
  <c r="I27" i="4"/>
  <c r="H33" i="13"/>
  <c r="K28" i="8"/>
  <c r="L28" i="8" s="1"/>
  <c r="M28" i="8" s="1"/>
  <c r="N28" i="8" s="1"/>
  <c r="K62" i="11"/>
  <c r="H7" i="19" s="1"/>
  <c r="K61" i="11"/>
  <c r="K52" i="11" s="1"/>
  <c r="K41" i="8"/>
  <c r="K38" i="8"/>
  <c r="K39" i="8" s="1"/>
  <c r="F16" i="4"/>
  <c r="F11" i="4"/>
  <c r="O23" i="14"/>
  <c r="K12" i="8"/>
  <c r="L21" i="8"/>
  <c r="K7" i="4"/>
  <c r="K9" i="14" s="1"/>
  <c r="J8" i="8"/>
  <c r="F20" i="13"/>
  <c r="I35" i="11"/>
  <c r="I30" i="11"/>
  <c r="G20" i="13"/>
  <c r="G21" i="13" s="1"/>
  <c r="J11" i="11"/>
  <c r="K8" i="11" s="1"/>
  <c r="L32" i="11"/>
  <c r="C32" i="16"/>
  <c r="H14" i="16"/>
  <c r="F32" i="16"/>
  <c r="I32" i="16"/>
  <c r="H12" i="16"/>
  <c r="L32" i="16"/>
  <c r="H13" i="16"/>
  <c r="H11" i="16"/>
  <c r="L31" i="16"/>
  <c r="G14" i="16"/>
  <c r="G12" i="16"/>
  <c r="G13" i="16"/>
  <c r="D13" i="19"/>
  <c r="E19" i="19" s="1"/>
  <c r="C31" i="16"/>
  <c r="F31" i="16"/>
  <c r="I31" i="16"/>
  <c r="G11" i="16"/>
  <c r="L10" i="9"/>
  <c r="M11" i="9"/>
  <c r="M10" i="9" s="1"/>
  <c r="N34" i="8"/>
  <c r="J31" i="6"/>
  <c r="I31" i="6"/>
  <c r="I42" i="11"/>
  <c r="L27" i="13"/>
  <c r="G8" i="14"/>
  <c r="G10" i="14" s="1"/>
  <c r="G14" i="14" s="1"/>
  <c r="F10" i="14"/>
  <c r="F14" i="14" s="1"/>
  <c r="M23" i="16"/>
  <c r="M24" i="16"/>
  <c r="M25" i="16"/>
  <c r="G41" i="5"/>
  <c r="F14" i="16"/>
  <c r="F12" i="16"/>
  <c r="F13" i="16"/>
  <c r="F11" i="16"/>
  <c r="L20" i="11"/>
  <c r="L23" i="11" s="1"/>
  <c r="K21" i="6"/>
  <c r="K23" i="5" s="1"/>
  <c r="I27" i="13"/>
  <c r="I29" i="13"/>
  <c r="I18" i="13"/>
  <c r="I20" i="13" s="1"/>
  <c r="I21" i="13" s="1"/>
  <c r="I35" i="13"/>
  <c r="L13" i="14"/>
  <c r="I12" i="16"/>
  <c r="I14" i="16"/>
  <c r="I13" i="16"/>
  <c r="I11" i="16"/>
  <c r="K15" i="8"/>
  <c r="L15" i="8" s="1"/>
  <c r="M15" i="8" s="1"/>
  <c r="N15" i="8" s="1"/>
  <c r="M31" i="11"/>
  <c r="H20" i="13"/>
  <c r="J19" i="14"/>
  <c r="H31" i="6"/>
  <c r="I43" i="4"/>
  <c r="I50" i="4" s="1"/>
  <c r="I61" i="4" s="1"/>
  <c r="G31" i="6"/>
  <c r="K26" i="8"/>
  <c r="M18" i="12"/>
  <c r="I19" i="14"/>
  <c r="H19" i="14"/>
  <c r="M16" i="12"/>
  <c r="H35" i="11"/>
  <c r="I17" i="4"/>
  <c r="L9" i="16"/>
  <c r="M9" i="16"/>
  <c r="I11" i="4"/>
  <c r="G32" i="11"/>
  <c r="H15" i="19"/>
  <c r="J18" i="5"/>
  <c r="J41" i="5" s="1"/>
  <c r="M42" i="8"/>
  <c r="F32" i="11"/>
  <c r="G33" i="13"/>
  <c r="N12" i="16"/>
  <c r="I18" i="5"/>
  <c r="I41" i="5" s="1"/>
  <c r="J34" i="13"/>
  <c r="I25" i="4"/>
  <c r="G39" i="5"/>
  <c r="I67" i="11"/>
  <c r="I66" i="11"/>
  <c r="I69" i="11"/>
  <c r="J18" i="13"/>
  <c r="J20" i="13" s="1"/>
  <c r="J10" i="14"/>
  <c r="J14" i="14" s="1"/>
  <c r="K14" i="14" s="1"/>
  <c r="N18" i="16"/>
  <c r="L29" i="23" l="1"/>
  <c r="L5" i="23"/>
  <c r="L11" i="23"/>
  <c r="K5" i="22"/>
  <c r="M12" i="24"/>
  <c r="M6" i="24"/>
  <c r="M18" i="24"/>
  <c r="L41" i="8"/>
  <c r="M41" i="8" s="1"/>
  <c r="M51" i="8" s="1"/>
  <c r="K51" i="8"/>
  <c r="K34" i="13"/>
  <c r="G22" i="4"/>
  <c r="G25" i="4" s="1"/>
  <c r="K12" i="12"/>
  <c r="K24" i="6" s="1"/>
  <c r="K33" i="5" s="1"/>
  <c r="J22" i="4"/>
  <c r="H22" i="4"/>
  <c r="H26" i="4" s="1"/>
  <c r="L38" i="8"/>
  <c r="L39" i="8" s="1"/>
  <c r="M25" i="8"/>
  <c r="N25" i="8"/>
  <c r="L25" i="8"/>
  <c r="L26" i="8" s="1"/>
  <c r="K15" i="6"/>
  <c r="J21" i="13"/>
  <c r="N23" i="16"/>
  <c r="N24" i="16"/>
  <c r="N25" i="16"/>
  <c r="N22" i="16"/>
  <c r="K10" i="14"/>
  <c r="K8" i="6" s="1"/>
  <c r="L14" i="14"/>
  <c r="M13" i="14"/>
  <c r="L34" i="13"/>
  <c r="M34" i="13"/>
  <c r="N34" i="13"/>
  <c r="O34" i="13"/>
  <c r="L12" i="8"/>
  <c r="M21" i="8"/>
  <c r="H21" i="13"/>
  <c r="N31" i="11"/>
  <c r="J26" i="4"/>
  <c r="J25" i="4"/>
  <c r="N18" i="12"/>
  <c r="K29" i="5"/>
  <c r="K15" i="4"/>
  <c r="K20" i="14"/>
  <c r="F7" i="20"/>
  <c r="K10" i="12"/>
  <c r="I7" i="9"/>
  <c r="J7" i="16"/>
  <c r="K24" i="13"/>
  <c r="K11" i="12"/>
  <c r="K25" i="6" s="1"/>
  <c r="K7" i="8"/>
  <c r="K52" i="8" s="1"/>
  <c r="K13" i="8"/>
  <c r="N13" i="20"/>
  <c r="M32" i="11"/>
  <c r="N12" i="20"/>
  <c r="E21" i="19"/>
  <c r="M28" i="13"/>
  <c r="I70" i="11"/>
  <c r="I43" i="11"/>
  <c r="I44" i="11" s="1"/>
  <c r="I36" i="11"/>
  <c r="I37" i="11" s="1"/>
  <c r="I47" i="11"/>
  <c r="I48" i="11" s="1"/>
  <c r="L52" i="11"/>
  <c r="M20" i="11"/>
  <c r="M23" i="11" s="1"/>
  <c r="L21" i="6"/>
  <c r="L23" i="5" s="1"/>
  <c r="N29" i="13"/>
  <c r="N16" i="12"/>
  <c r="M27" i="13"/>
  <c r="F17" i="4"/>
  <c r="F22" i="4"/>
  <c r="K17" i="5"/>
  <c r="O30" i="13"/>
  <c r="L5" i="22" l="1"/>
  <c r="M11" i="23"/>
  <c r="M5" i="23"/>
  <c r="M29" i="23"/>
  <c r="K53" i="8"/>
  <c r="M38" i="8"/>
  <c r="M39" i="8" s="1"/>
  <c r="L51" i="8"/>
  <c r="G26" i="4"/>
  <c r="H25" i="4"/>
  <c r="N26" i="8"/>
  <c r="M26" i="8"/>
  <c r="N32" i="11"/>
  <c r="H30" i="4"/>
  <c r="H34" i="4" s="1"/>
  <c r="H36" i="4" s="1"/>
  <c r="H27" i="4"/>
  <c r="N20" i="11"/>
  <c r="N23" i="11" s="1"/>
  <c r="M21" i="6"/>
  <c r="M23" i="5" s="1"/>
  <c r="M52" i="11"/>
  <c r="O16" i="12"/>
  <c r="K8" i="13"/>
  <c r="K10" i="13"/>
  <c r="K11" i="5" s="1"/>
  <c r="K16" i="13"/>
  <c r="K22" i="5" s="1"/>
  <c r="K17" i="13"/>
  <c r="K25" i="5" s="1"/>
  <c r="K9" i="13"/>
  <c r="K11" i="13"/>
  <c r="K12" i="5" s="1"/>
  <c r="J14" i="16"/>
  <c r="J13" i="16"/>
  <c r="J11" i="16"/>
  <c r="J12" i="16"/>
  <c r="M7" i="16"/>
  <c r="I9" i="9"/>
  <c r="K8" i="4" s="1"/>
  <c r="I15" i="9"/>
  <c r="K13" i="4" s="1"/>
  <c r="M14" i="14"/>
  <c r="F21" i="19"/>
  <c r="F20" i="19"/>
  <c r="G20" i="19" s="1"/>
  <c r="N27" i="13"/>
  <c r="K36" i="5"/>
  <c r="K10" i="6"/>
  <c r="K53" i="4" s="1"/>
  <c r="N13" i="14"/>
  <c r="F25" i="4"/>
  <c r="F26" i="4"/>
  <c r="N41" i="8"/>
  <c r="N51" i="8" s="1"/>
  <c r="N38" i="8"/>
  <c r="O29" i="13"/>
  <c r="K14" i="4"/>
  <c r="K21" i="14"/>
  <c r="L18" i="14" s="1"/>
  <c r="N28" i="13"/>
  <c r="L13" i="8"/>
  <c r="L7" i="8"/>
  <c r="L52" i="8" s="1"/>
  <c r="L7" i="4"/>
  <c r="K8" i="8"/>
  <c r="K27" i="6"/>
  <c r="O18" i="12"/>
  <c r="F19" i="19"/>
  <c r="K11" i="14"/>
  <c r="M12" i="8"/>
  <c r="N21" i="8"/>
  <c r="N12" i="8" s="1"/>
  <c r="F11" i="20"/>
  <c r="K47" i="4"/>
  <c r="K9" i="4"/>
  <c r="F12" i="20" s="1"/>
  <c r="J30" i="4"/>
  <c r="J34" i="4" s="1"/>
  <c r="J36" i="4" s="1"/>
  <c r="J37" i="4" s="1"/>
  <c r="J27" i="4"/>
  <c r="K16" i="6"/>
  <c r="K17" i="6" s="1"/>
  <c r="G30" i="4"/>
  <c r="G34" i="4" s="1"/>
  <c r="G36" i="4" s="1"/>
  <c r="G27" i="4"/>
  <c r="O31" i="11"/>
  <c r="F18" i="20"/>
  <c r="M5" i="22" l="1"/>
  <c r="N39" i="8"/>
  <c r="L53" i="8"/>
  <c r="H37" i="4"/>
  <c r="I37" i="4"/>
  <c r="M13" i="16"/>
  <c r="M14" i="16"/>
  <c r="M11" i="16"/>
  <c r="M12" i="16"/>
  <c r="F8" i="20"/>
  <c r="F9" i="20" s="1"/>
  <c r="K25" i="13"/>
  <c r="K26" i="13" s="1"/>
  <c r="K15" i="13" s="1"/>
  <c r="K10" i="4"/>
  <c r="K16" i="4" s="1"/>
  <c r="N13" i="8"/>
  <c r="N7" i="8"/>
  <c r="N52" i="8" s="1"/>
  <c r="N53" i="8" s="1"/>
  <c r="L20" i="14"/>
  <c r="L14" i="4" s="1"/>
  <c r="G7" i="20"/>
  <c r="J7" i="9"/>
  <c r="L24" i="13"/>
  <c r="L11" i="12"/>
  <c r="L25" i="6" s="1"/>
  <c r="L12" i="12"/>
  <c r="L24" i="6" s="1"/>
  <c r="L33" i="5" s="1"/>
  <c r="L10" i="12"/>
  <c r="L10" i="6" s="1"/>
  <c r="L53" i="4" s="1"/>
  <c r="L9" i="14"/>
  <c r="L15" i="6" s="1"/>
  <c r="J43" i="4"/>
  <c r="J50" i="4" s="1"/>
  <c r="J61" i="4" s="1"/>
  <c r="J9" i="12"/>
  <c r="K15" i="5"/>
  <c r="L8" i="14"/>
  <c r="L17" i="5"/>
  <c r="K10" i="5"/>
  <c r="K12" i="13"/>
  <c r="K9" i="5"/>
  <c r="O20" i="11"/>
  <c r="O23" i="11" s="1"/>
  <c r="N52" i="11"/>
  <c r="N21" i="6"/>
  <c r="N23" i="5" s="1"/>
  <c r="O32" i="11"/>
  <c r="F10" i="20"/>
  <c r="L15" i="4"/>
  <c r="M13" i="8"/>
  <c r="M7" i="8"/>
  <c r="M52" i="8" s="1"/>
  <c r="M53" i="8" s="1"/>
  <c r="N14" i="14"/>
  <c r="M7" i="4"/>
  <c r="L8" i="8"/>
  <c r="O28" i="13"/>
  <c r="G43" i="4"/>
  <c r="G50" i="4" s="1"/>
  <c r="G61" i="4" s="1"/>
  <c r="G9" i="12"/>
  <c r="G14" i="12" s="1"/>
  <c r="H8" i="12" s="1"/>
  <c r="F13" i="20"/>
  <c r="F17" i="20" s="1"/>
  <c r="K9" i="6"/>
  <c r="F30" i="4"/>
  <c r="F34" i="4" s="1"/>
  <c r="F36" i="4" s="1"/>
  <c r="G37" i="4" s="1"/>
  <c r="F27" i="4"/>
  <c r="L25" i="4"/>
  <c r="M25" i="4"/>
  <c r="N25" i="4"/>
  <c r="O25" i="4"/>
  <c r="K25" i="4"/>
  <c r="O13" i="14"/>
  <c r="O27" i="13"/>
  <c r="H9" i="12"/>
  <c r="H43" i="4"/>
  <c r="H50" i="4" s="1"/>
  <c r="H61" i="4" s="1"/>
  <c r="L29" i="5"/>
  <c r="L10" i="14"/>
  <c r="L8" i="6" s="1"/>
  <c r="L11" i="14" l="1"/>
  <c r="M8" i="14" s="1"/>
  <c r="L36" i="5"/>
  <c r="K18" i="13"/>
  <c r="K20" i="13" s="1"/>
  <c r="K21" i="13" s="1"/>
  <c r="K11" i="6" s="1"/>
  <c r="F19" i="20" s="1"/>
  <c r="K21" i="5"/>
  <c r="O14" i="14"/>
  <c r="G18" i="20"/>
  <c r="M29" i="5"/>
  <c r="L27" i="6"/>
  <c r="N7" i="4"/>
  <c r="M8" i="8"/>
  <c r="J36" i="11"/>
  <c r="J37" i="11" s="1"/>
  <c r="K37" i="11" s="1"/>
  <c r="L37" i="11" s="1"/>
  <c r="M37" i="11" s="1"/>
  <c r="N37" i="11" s="1"/>
  <c r="O37" i="11" s="1"/>
  <c r="J43" i="11"/>
  <c r="J44" i="11" s="1"/>
  <c r="J47" i="11"/>
  <c r="J48" i="11" s="1"/>
  <c r="K17" i="4"/>
  <c r="D18" i="16"/>
  <c r="J9" i="9"/>
  <c r="L8" i="4" s="1"/>
  <c r="J15" i="9"/>
  <c r="L13" i="4" s="1"/>
  <c r="L9" i="6"/>
  <c r="L48" i="4" s="1"/>
  <c r="G13" i="20"/>
  <c r="K11" i="4"/>
  <c r="C18" i="16"/>
  <c r="G36" i="11"/>
  <c r="G37" i="11" s="1"/>
  <c r="G43" i="11"/>
  <c r="G44" i="11" s="1"/>
  <c r="G47" i="11"/>
  <c r="G48" i="11" s="1"/>
  <c r="L47" i="4"/>
  <c r="L9" i="4"/>
  <c r="G12" i="20" s="1"/>
  <c r="G11" i="20"/>
  <c r="M15" i="4"/>
  <c r="D10" i="19"/>
  <c r="H8" i="19" s="1"/>
  <c r="H9" i="19" s="1"/>
  <c r="G19" i="19" s="1"/>
  <c r="G21" i="19" s="1"/>
  <c r="G22" i="19" s="1"/>
  <c r="O52" i="11"/>
  <c r="O21" i="6"/>
  <c r="O23" i="5" s="1"/>
  <c r="H14" i="12"/>
  <c r="I8" i="12" s="1"/>
  <c r="I14" i="12" s="1"/>
  <c r="J8" i="12" s="1"/>
  <c r="J14" i="12" s="1"/>
  <c r="K8" i="12" s="1"/>
  <c r="H36" i="11"/>
  <c r="H37" i="11" s="1"/>
  <c r="H43" i="11"/>
  <c r="H44" i="11" s="1"/>
  <c r="H47" i="11"/>
  <c r="H48" i="11" s="1"/>
  <c r="F9" i="12"/>
  <c r="F43" i="4"/>
  <c r="F50" i="4" s="1"/>
  <c r="F61" i="4" s="1"/>
  <c r="M17" i="5"/>
  <c r="L16" i="6"/>
  <c r="L17" i="6" s="1"/>
  <c r="M24" i="13"/>
  <c r="H7" i="20"/>
  <c r="K7" i="9"/>
  <c r="M11" i="12"/>
  <c r="M25" i="6" s="1"/>
  <c r="M20" i="14"/>
  <c r="M14" i="4" s="1"/>
  <c r="M12" i="12"/>
  <c r="M24" i="6" s="1"/>
  <c r="M33" i="5" s="1"/>
  <c r="M10" i="12"/>
  <c r="M10" i="6" s="1"/>
  <c r="M53" i="4" s="1"/>
  <c r="M9" i="14"/>
  <c r="M15" i="6" s="1"/>
  <c r="M10" i="14"/>
  <c r="M8" i="6" s="1"/>
  <c r="L10" i="13"/>
  <c r="L11" i="5" s="1"/>
  <c r="L8" i="13"/>
  <c r="L17" i="13"/>
  <c r="L25" i="5" s="1"/>
  <c r="L16" i="13"/>
  <c r="L22" i="5" s="1"/>
  <c r="L11" i="13"/>
  <c r="L12" i="5" s="1"/>
  <c r="L9" i="13"/>
  <c r="N8" i="8"/>
  <c r="O7" i="4"/>
  <c r="O9" i="14" s="1"/>
  <c r="O15" i="6" s="1"/>
  <c r="K16" i="5"/>
  <c r="K48" i="4"/>
  <c r="F14" i="20"/>
  <c r="F15" i="20" s="1"/>
  <c r="L21" i="14"/>
  <c r="M18" i="14" s="1"/>
  <c r="L15" i="5" l="1"/>
  <c r="L16" i="5"/>
  <c r="G17" i="20"/>
  <c r="I7" i="20"/>
  <c r="N24" i="13"/>
  <c r="L7" i="9"/>
  <c r="N11" i="12"/>
  <c r="N25" i="6" s="1"/>
  <c r="N20" i="14"/>
  <c r="N14" i="4" s="1"/>
  <c r="N12" i="12"/>
  <c r="N24" i="6" s="1"/>
  <c r="N33" i="5" s="1"/>
  <c r="N10" i="12"/>
  <c r="N10" i="6" s="1"/>
  <c r="N53" i="4" s="1"/>
  <c r="N9" i="14"/>
  <c r="N15" i="6" s="1"/>
  <c r="L9" i="5"/>
  <c r="L12" i="13"/>
  <c r="M47" i="4"/>
  <c r="M9" i="4"/>
  <c r="H12" i="20" s="1"/>
  <c r="K9" i="9"/>
  <c r="M8" i="4" s="1"/>
  <c r="K15" i="9"/>
  <c r="M13" i="4" s="1"/>
  <c r="M21" i="14"/>
  <c r="N18" i="14" s="1"/>
  <c r="M16" i="6"/>
  <c r="M17" i="6" s="1"/>
  <c r="N17" i="5"/>
  <c r="O10" i="14"/>
  <c r="O8" i="6" s="1"/>
  <c r="H18" i="20"/>
  <c r="H11" i="20"/>
  <c r="N15" i="4"/>
  <c r="N10" i="14"/>
  <c r="N8" i="6" s="1"/>
  <c r="M11" i="14"/>
  <c r="H13" i="20"/>
  <c r="M9" i="6"/>
  <c r="M48" i="4" s="1"/>
  <c r="M10" i="13"/>
  <c r="M11" i="5" s="1"/>
  <c r="M8" i="13"/>
  <c r="M17" i="13"/>
  <c r="M25" i="5" s="1"/>
  <c r="M16" i="13"/>
  <c r="M22" i="5" s="1"/>
  <c r="M9" i="13"/>
  <c r="M11" i="13"/>
  <c r="M12" i="5" s="1"/>
  <c r="F36" i="11"/>
  <c r="F37" i="11" s="1"/>
  <c r="F43" i="11"/>
  <c r="F44" i="11" s="1"/>
  <c r="F47" i="11"/>
  <c r="F48" i="11" s="1"/>
  <c r="J7" i="20"/>
  <c r="O24" i="13"/>
  <c r="M7" i="9"/>
  <c r="O11" i="12"/>
  <c r="O25" i="6" s="1"/>
  <c r="O20" i="14"/>
  <c r="O14" i="4" s="1"/>
  <c r="O12" i="12"/>
  <c r="O24" i="6" s="1"/>
  <c r="O10" i="12"/>
  <c r="O10" i="6" s="1"/>
  <c r="O53" i="4" s="1"/>
  <c r="L25" i="13"/>
  <c r="L26" i="13" s="1"/>
  <c r="L15" i="13" s="1"/>
  <c r="G8" i="20"/>
  <c r="G9" i="20" s="1"/>
  <c r="L10" i="4"/>
  <c r="L11" i="4" s="1"/>
  <c r="H22" i="20"/>
  <c r="H24" i="20" s="1"/>
  <c r="F22" i="20"/>
  <c r="F24" i="20" s="1"/>
  <c r="G22" i="20"/>
  <c r="G24" i="20" s="1"/>
  <c r="I22" i="20"/>
  <c r="I24" i="20" s="1"/>
  <c r="J22" i="20"/>
  <c r="J24" i="20" s="1"/>
  <c r="N8" i="20" s="1"/>
  <c r="J18" i="20"/>
  <c r="F16" i="20"/>
  <c r="M36" i="5"/>
  <c r="D22" i="16"/>
  <c r="D24" i="16"/>
  <c r="D25" i="16"/>
  <c r="D23" i="16"/>
  <c r="H18" i="16"/>
  <c r="N29" i="5"/>
  <c r="M27" i="6"/>
  <c r="G18" i="16"/>
  <c r="C24" i="16"/>
  <c r="C22" i="16"/>
  <c r="C25" i="16"/>
  <c r="C23" i="16"/>
  <c r="G10" i="20"/>
  <c r="L10" i="5"/>
  <c r="F20" i="20" l="1"/>
  <c r="N21" i="14"/>
  <c r="O18" i="14" s="1"/>
  <c r="O21" i="14" s="1"/>
  <c r="H17" i="20"/>
  <c r="L16" i="4"/>
  <c r="L17" i="4" s="1"/>
  <c r="N36" i="5"/>
  <c r="O36" i="5" s="1"/>
  <c r="O33" i="5"/>
  <c r="H23" i="16"/>
  <c r="H25" i="16"/>
  <c r="H24" i="16"/>
  <c r="H22" i="16"/>
  <c r="G23" i="16"/>
  <c r="G25" i="16"/>
  <c r="G22" i="16"/>
  <c r="G24" i="16"/>
  <c r="O47" i="4"/>
  <c r="O9" i="4"/>
  <c r="J12" i="20" s="1"/>
  <c r="M10" i="5"/>
  <c r="L15" i="9"/>
  <c r="N13" i="4" s="1"/>
  <c r="L9" i="9"/>
  <c r="N8" i="4" s="1"/>
  <c r="M9" i="9"/>
  <c r="O8" i="4" s="1"/>
  <c r="M15" i="9"/>
  <c r="O13" i="4" s="1"/>
  <c r="H10" i="20"/>
  <c r="M9" i="5"/>
  <c r="M12" i="13"/>
  <c r="I13" i="20"/>
  <c r="N9" i="6"/>
  <c r="N48" i="4" s="1"/>
  <c r="J13" i="20"/>
  <c r="O9" i="6"/>
  <c r="O48" i="4" s="1"/>
  <c r="O10" i="13"/>
  <c r="O11" i="5" s="1"/>
  <c r="O8" i="13"/>
  <c r="O17" i="13"/>
  <c r="O25" i="5" s="1"/>
  <c r="O16" i="13"/>
  <c r="O22" i="5" s="1"/>
  <c r="O11" i="13"/>
  <c r="O12" i="5" s="1"/>
  <c r="O9" i="13"/>
  <c r="H8" i="20"/>
  <c r="H9" i="20" s="1"/>
  <c r="M25" i="13"/>
  <c r="M26" i="13" s="1"/>
  <c r="M15" i="13" s="1"/>
  <c r="M10" i="4"/>
  <c r="M11" i="4" s="1"/>
  <c r="M15" i="5"/>
  <c r="N8" i="14"/>
  <c r="N11" i="14" s="1"/>
  <c r="N10" i="13"/>
  <c r="N11" i="5" s="1"/>
  <c r="N8" i="13"/>
  <c r="N17" i="13"/>
  <c r="N25" i="5" s="1"/>
  <c r="N16" i="13"/>
  <c r="N22" i="5" s="1"/>
  <c r="N11" i="13"/>
  <c r="N12" i="5" s="1"/>
  <c r="N9" i="13"/>
  <c r="N16" i="6"/>
  <c r="N17" i="6" s="1"/>
  <c r="O17" i="5"/>
  <c r="O16" i="6" s="1"/>
  <c r="O17" i="6" s="1"/>
  <c r="N47" i="4"/>
  <c r="N9" i="4"/>
  <c r="I12" i="20" s="1"/>
  <c r="O15" i="4"/>
  <c r="J11" i="20" s="1"/>
  <c r="I11" i="20"/>
  <c r="O29" i="5"/>
  <c r="O27" i="6" s="1"/>
  <c r="N27" i="6"/>
  <c r="I18" i="20"/>
  <c r="L18" i="13"/>
  <c r="L20" i="13" s="1"/>
  <c r="L21" i="13" s="1"/>
  <c r="L11" i="6" s="1"/>
  <c r="G19" i="20" s="1"/>
  <c r="L21" i="5"/>
  <c r="G14" i="20"/>
  <c r="M16" i="5"/>
  <c r="F21" i="20" l="1"/>
  <c r="F25" i="20" s="1"/>
  <c r="M16" i="4"/>
  <c r="M17" i="4" s="1"/>
  <c r="J17" i="20"/>
  <c r="I17" i="20"/>
  <c r="N16" i="5"/>
  <c r="O16" i="5" s="1"/>
  <c r="N25" i="13"/>
  <c r="N26" i="13" s="1"/>
  <c r="N15" i="13" s="1"/>
  <c r="I8" i="20"/>
  <c r="I9" i="20" s="1"/>
  <c r="N10" i="4"/>
  <c r="N11" i="4" s="1"/>
  <c r="G15" i="20"/>
  <c r="G16" i="20" s="1"/>
  <c r="G21" i="20" s="1"/>
  <c r="G25" i="20" s="1"/>
  <c r="N9" i="5"/>
  <c r="N12" i="13"/>
  <c r="O8" i="14"/>
  <c r="O11" i="14" s="1"/>
  <c r="O15" i="5" s="1"/>
  <c r="N15" i="5"/>
  <c r="O25" i="13"/>
  <c r="O26" i="13" s="1"/>
  <c r="O15" i="13" s="1"/>
  <c r="J8" i="20"/>
  <c r="J9" i="20" s="1"/>
  <c r="O10" i="4"/>
  <c r="O11" i="4" s="1"/>
  <c r="M18" i="13"/>
  <c r="M20" i="13" s="1"/>
  <c r="M21" i="13" s="1"/>
  <c r="M11" i="6" s="1"/>
  <c r="H19" i="20" s="1"/>
  <c r="M21" i="5"/>
  <c r="H14" i="20"/>
  <c r="O10" i="5"/>
  <c r="I10" i="20"/>
  <c r="N10" i="5"/>
  <c r="J10" i="20"/>
  <c r="O9" i="5"/>
  <c r="O12" i="13"/>
  <c r="O16" i="4" l="1"/>
  <c r="O17" i="4" s="1"/>
  <c r="N16" i="4"/>
  <c r="N17" i="4" s="1"/>
  <c r="J14" i="20"/>
  <c r="J15" i="20" s="1"/>
  <c r="J16" i="20" s="1"/>
  <c r="H15" i="20"/>
  <c r="H16" i="20" s="1"/>
  <c r="H21" i="20" s="1"/>
  <c r="H25" i="20" s="1"/>
  <c r="N18" i="13"/>
  <c r="N20" i="13" s="1"/>
  <c r="N21" i="13" s="1"/>
  <c r="N11" i="6" s="1"/>
  <c r="I19" i="20" s="1"/>
  <c r="N21" i="5"/>
  <c r="O18" i="13"/>
  <c r="O20" i="13" s="1"/>
  <c r="O21" i="5"/>
  <c r="I14" i="20"/>
  <c r="O21" i="13" l="1"/>
  <c r="O11" i="6" s="1"/>
  <c r="J19" i="20" s="1"/>
  <c r="J21" i="20" s="1"/>
  <c r="J25" i="20" s="1"/>
  <c r="I15" i="20"/>
  <c r="I16" i="20" s="1"/>
  <c r="I21" i="20" s="1"/>
  <c r="I25" i="20" s="1"/>
  <c r="D27" i="20" l="1"/>
  <c r="N10" i="20" l="1"/>
  <c r="K8" i="5"/>
  <c r="L8" i="5"/>
  <c r="M8" i="5"/>
  <c r="N8" i="5"/>
  <c r="O8" i="5"/>
  <c r="K13" i="5"/>
  <c r="L13" i="5"/>
  <c r="M13" i="5"/>
  <c r="N13" i="5"/>
  <c r="O13" i="5"/>
  <c r="K18" i="5"/>
  <c r="L18" i="5"/>
  <c r="M18" i="5"/>
  <c r="N18" i="5"/>
  <c r="O18" i="5"/>
  <c r="K24" i="5"/>
  <c r="L24" i="5"/>
  <c r="M24" i="5"/>
  <c r="N24" i="5"/>
  <c r="O24" i="5"/>
  <c r="K26" i="5"/>
  <c r="L26" i="5"/>
  <c r="M26" i="5"/>
  <c r="N26" i="5"/>
  <c r="O26" i="5"/>
  <c r="K28" i="5"/>
  <c r="L28" i="5"/>
  <c r="M28" i="5"/>
  <c r="N28" i="5"/>
  <c r="O28" i="5"/>
  <c r="K30" i="5"/>
  <c r="L30" i="5"/>
  <c r="M30" i="5"/>
  <c r="N30" i="5"/>
  <c r="O30" i="5"/>
  <c r="K34" i="5"/>
  <c r="L34" i="5"/>
  <c r="M34" i="5"/>
  <c r="N34" i="5"/>
  <c r="O34" i="5"/>
  <c r="K37" i="5"/>
  <c r="L37" i="5"/>
  <c r="M37" i="5"/>
  <c r="N37" i="5"/>
  <c r="O37" i="5"/>
  <c r="K39" i="5"/>
  <c r="L39" i="5"/>
  <c r="M39" i="5"/>
  <c r="N39" i="5"/>
  <c r="O39" i="5"/>
  <c r="K41" i="5"/>
  <c r="L41" i="5"/>
  <c r="M41" i="5"/>
  <c r="N41" i="5"/>
  <c r="O41" i="5"/>
  <c r="K7" i="6"/>
  <c r="L7" i="6"/>
  <c r="M7" i="6"/>
  <c r="N7" i="6"/>
  <c r="O7" i="6"/>
  <c r="K13" i="6"/>
  <c r="L13" i="6"/>
  <c r="M13" i="6"/>
  <c r="N13" i="6"/>
  <c r="O13" i="6"/>
  <c r="K19" i="6"/>
  <c r="L19" i="6"/>
  <c r="M19" i="6"/>
  <c r="N19" i="6"/>
  <c r="O19" i="6"/>
  <c r="K20" i="6"/>
  <c r="L20" i="6"/>
  <c r="M20" i="6"/>
  <c r="N20" i="6"/>
  <c r="O20" i="6"/>
  <c r="K22" i="6"/>
  <c r="L22" i="6"/>
  <c r="M22" i="6"/>
  <c r="N22" i="6"/>
  <c r="O22" i="6"/>
  <c r="K28" i="6"/>
  <c r="L28" i="6"/>
  <c r="M28" i="6"/>
  <c r="N28" i="6"/>
  <c r="O28" i="6"/>
  <c r="K31" i="6"/>
  <c r="L31" i="6"/>
  <c r="M31" i="6"/>
  <c r="N31" i="6"/>
  <c r="O31" i="6"/>
  <c r="L7" i="16"/>
  <c r="L11" i="16"/>
  <c r="L12" i="16"/>
  <c r="L13" i="16"/>
  <c r="L14" i="16"/>
  <c r="E18" i="16"/>
  <c r="F18" i="16"/>
  <c r="I18" i="16"/>
  <c r="J18" i="16"/>
  <c r="K18" i="16"/>
  <c r="L18" i="16"/>
  <c r="E22" i="16"/>
  <c r="F22" i="16"/>
  <c r="I22" i="16"/>
  <c r="J22" i="16"/>
  <c r="K22" i="16"/>
  <c r="L22" i="16"/>
  <c r="E23" i="16"/>
  <c r="F23" i="16"/>
  <c r="I23" i="16"/>
  <c r="J23" i="16"/>
  <c r="K23" i="16"/>
  <c r="L23" i="16"/>
  <c r="E24" i="16"/>
  <c r="F24" i="16"/>
  <c r="I24" i="16"/>
  <c r="J24" i="16"/>
  <c r="K24" i="16"/>
  <c r="L24" i="16"/>
  <c r="E25" i="16"/>
  <c r="F25" i="16"/>
  <c r="I25" i="16"/>
  <c r="J25" i="16"/>
  <c r="K25" i="16"/>
  <c r="L25" i="16"/>
  <c r="C28" i="16"/>
  <c r="F28" i="16"/>
  <c r="I28" i="16"/>
  <c r="L28" i="16"/>
  <c r="C29" i="16"/>
  <c r="F29" i="16"/>
  <c r="I29" i="16"/>
  <c r="L29" i="16"/>
  <c r="C30" i="16"/>
  <c r="F30" i="16"/>
  <c r="I30" i="16"/>
  <c r="L30" i="16"/>
  <c r="C33" i="16"/>
  <c r="F33" i="16"/>
  <c r="I33" i="16"/>
  <c r="L33" i="16"/>
  <c r="C35" i="16"/>
  <c r="F35" i="16"/>
  <c r="I35" i="16"/>
  <c r="L35" i="16"/>
  <c r="C36" i="16"/>
  <c r="F36" i="16"/>
  <c r="I36" i="16"/>
  <c r="L36" i="16"/>
  <c r="N5" i="20"/>
  <c r="N7" i="20"/>
  <c r="N9" i="20"/>
  <c r="N11" i="20"/>
  <c r="N14" i="20"/>
  <c r="N16" i="20"/>
  <c r="N17" i="20"/>
  <c r="L8" i="11"/>
  <c r="M8" i="11"/>
  <c r="N8" i="11"/>
  <c r="O8" i="11"/>
  <c r="K10" i="11"/>
  <c r="L10" i="11"/>
  <c r="M10" i="11"/>
  <c r="N10" i="11"/>
  <c r="O10" i="11"/>
  <c r="K11" i="11"/>
  <c r="L11" i="11"/>
  <c r="M11" i="11"/>
  <c r="N11" i="11"/>
  <c r="O11" i="11"/>
  <c r="L14" i="11"/>
  <c r="M14" i="11"/>
  <c r="N14" i="11"/>
  <c r="O14" i="11"/>
  <c r="K15" i="11"/>
  <c r="L15" i="11"/>
  <c r="M15" i="11"/>
  <c r="N15" i="11"/>
  <c r="O15" i="11"/>
  <c r="K16" i="11"/>
  <c r="L16" i="11"/>
  <c r="M16" i="11"/>
  <c r="N16" i="11"/>
  <c r="O16" i="11"/>
  <c r="K17" i="11"/>
  <c r="L17" i="11"/>
  <c r="M17" i="11"/>
  <c r="N17" i="11"/>
  <c r="O17" i="11"/>
  <c r="K26" i="11"/>
  <c r="L26" i="11"/>
  <c r="M26" i="11"/>
  <c r="N26" i="11"/>
  <c r="O26" i="11"/>
  <c r="K27" i="11"/>
  <c r="L27" i="11"/>
  <c r="M27" i="11"/>
  <c r="N27" i="11"/>
  <c r="O27" i="11"/>
  <c r="K28" i="11"/>
  <c r="L28" i="11"/>
  <c r="M28" i="11"/>
  <c r="N28" i="11"/>
  <c r="O28" i="11"/>
  <c r="K35" i="11"/>
  <c r="L35" i="11"/>
  <c r="M35" i="11"/>
  <c r="N35" i="11"/>
  <c r="O35" i="11"/>
  <c r="K36" i="11"/>
  <c r="L36" i="11"/>
  <c r="M36" i="11"/>
  <c r="N36" i="11"/>
  <c r="O36" i="11"/>
  <c r="K40" i="11"/>
  <c r="L40" i="11"/>
  <c r="M40" i="11"/>
  <c r="N40" i="11"/>
  <c r="O40" i="11"/>
  <c r="K41" i="11"/>
  <c r="L41" i="11"/>
  <c r="M41" i="11"/>
  <c r="N41" i="11"/>
  <c r="O41" i="11"/>
  <c r="K42" i="11"/>
  <c r="L42" i="11"/>
  <c r="M42" i="11"/>
  <c r="N42" i="11"/>
  <c r="O42" i="11"/>
  <c r="K43" i="11"/>
  <c r="L43" i="11"/>
  <c r="M43" i="11"/>
  <c r="N43" i="11"/>
  <c r="O43" i="11"/>
  <c r="K44" i="11"/>
  <c r="L44" i="11"/>
  <c r="M44" i="11"/>
  <c r="N44" i="11"/>
  <c r="O44" i="11"/>
  <c r="K46" i="11"/>
  <c r="L46" i="11"/>
  <c r="M46" i="11"/>
  <c r="N46" i="11"/>
  <c r="O46" i="11"/>
  <c r="K47" i="11"/>
  <c r="L47" i="11"/>
  <c r="M47" i="11"/>
  <c r="N47" i="11"/>
  <c r="O47" i="11"/>
  <c r="K48" i="11"/>
  <c r="L48" i="11"/>
  <c r="M48" i="11"/>
  <c r="N48" i="11"/>
  <c r="O48" i="11"/>
  <c r="K51" i="11"/>
  <c r="L51" i="11"/>
  <c r="M51" i="11"/>
  <c r="N51" i="11"/>
  <c r="O51" i="11"/>
  <c r="K53" i="11"/>
  <c r="L53" i="11"/>
  <c r="M53" i="11"/>
  <c r="N53" i="11"/>
  <c r="O53" i="11"/>
  <c r="K54" i="11"/>
  <c r="L54" i="11"/>
  <c r="M54" i="11"/>
  <c r="N54" i="11"/>
  <c r="O54" i="11"/>
  <c r="K57" i="11"/>
  <c r="L57" i="11"/>
  <c r="M57" i="11"/>
  <c r="N57" i="11"/>
  <c r="O57" i="11"/>
  <c r="K58" i="11"/>
  <c r="L58" i="11"/>
  <c r="M58" i="11"/>
  <c r="N58" i="11"/>
  <c r="O58" i="11"/>
  <c r="L8" i="12"/>
  <c r="M8" i="12"/>
  <c r="N8" i="12"/>
  <c r="O8" i="12"/>
  <c r="K9" i="12"/>
  <c r="L9" i="12"/>
  <c r="M9" i="12"/>
  <c r="N9" i="12"/>
  <c r="O9" i="12"/>
  <c r="K14" i="12"/>
  <c r="L14" i="12"/>
  <c r="M14" i="12"/>
  <c r="N14" i="12"/>
  <c r="O14" i="12"/>
  <c r="K19" i="4"/>
  <c r="L19" i="4"/>
  <c r="M19" i="4"/>
  <c r="N19" i="4"/>
  <c r="O19" i="4"/>
  <c r="K20" i="4"/>
  <c r="L20" i="4"/>
  <c r="M20" i="4"/>
  <c r="N20" i="4"/>
  <c r="O20" i="4"/>
  <c r="K22" i="4"/>
  <c r="L22" i="4"/>
  <c r="M22" i="4"/>
  <c r="N22" i="4"/>
  <c r="O22" i="4"/>
  <c r="K24" i="4"/>
  <c r="L24" i="4"/>
  <c r="M24" i="4"/>
  <c r="N24" i="4"/>
  <c r="O24" i="4"/>
  <c r="K26" i="4"/>
  <c r="L26" i="4"/>
  <c r="M26" i="4"/>
  <c r="N26" i="4"/>
  <c r="O26" i="4"/>
  <c r="K27" i="4"/>
  <c r="L27" i="4"/>
  <c r="M27" i="4"/>
  <c r="N27" i="4"/>
  <c r="O27" i="4"/>
  <c r="K30" i="4"/>
  <c r="L30" i="4"/>
  <c r="M30" i="4"/>
  <c r="N30" i="4"/>
  <c r="O30" i="4"/>
  <c r="K34" i="4"/>
  <c r="L34" i="4"/>
  <c r="M34" i="4"/>
  <c r="N34" i="4"/>
  <c r="O34" i="4"/>
  <c r="K36" i="4"/>
  <c r="L36" i="4"/>
  <c r="M36" i="4"/>
  <c r="N36" i="4"/>
  <c r="O36" i="4"/>
  <c r="K37" i="4"/>
  <c r="L37" i="4"/>
  <c r="M37" i="4"/>
  <c r="N37" i="4"/>
  <c r="O37" i="4"/>
  <c r="K39" i="4"/>
  <c r="L39" i="4"/>
  <c r="M39" i="4"/>
  <c r="N39" i="4"/>
  <c r="O39" i="4"/>
  <c r="K43" i="4"/>
  <c r="L43" i="4"/>
  <c r="M43" i="4"/>
  <c r="N43" i="4"/>
  <c r="O43" i="4"/>
  <c r="K44" i="4"/>
  <c r="L44" i="4"/>
  <c r="M44" i="4"/>
  <c r="N44" i="4"/>
  <c r="O44" i="4"/>
  <c r="K45" i="4"/>
  <c r="L45" i="4"/>
  <c r="M45" i="4"/>
  <c r="N45" i="4"/>
  <c r="O45" i="4"/>
  <c r="K46" i="4"/>
  <c r="L46" i="4"/>
  <c r="M46" i="4"/>
  <c r="N46" i="4"/>
  <c r="O46" i="4"/>
  <c r="K50" i="4"/>
  <c r="L50" i="4"/>
  <c r="M50" i="4"/>
  <c r="N50" i="4"/>
  <c r="O50" i="4"/>
  <c r="K61" i="4"/>
  <c r="L61" i="4"/>
  <c r="M61" i="4"/>
  <c r="N61" i="4"/>
  <c r="O6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tc={4DB9B31D-C372-4B80-9347-7B8BBB9BB864}</author>
  </authors>
  <commentList>
    <comment ref="B60" authorId="0" shapeId="0" xr:uid="{4DB9B31D-C372-4B80-9347-7B8BBB9BB86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Represents adjustments under line items not listed in 2022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tc={5ECCB018-256F-418A-92A0-489D17321C4E}</author>
    <author>tc={F47E80F5-6060-48E4-9B71-143F9E4493AD}</author>
  </authors>
  <commentList>
    <comment ref="B17" authorId="0" shapeId="0" xr:uid="{5ECCB018-256F-418A-92A0-489D17321C4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operating lease right of use assets and other assets, net</t>
        </r>
      </text>
    </comment>
    <comment ref="B28" authorId="1" shapeId="0" xr:uid="{F47E80F5-6060-48E4-9B71-143F9E4493A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Senior Credit Facility, as listed in Notes to Financial Statements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Max Lau</author>
  </authors>
  <commentList>
    <comment ref="I27" authorId="0" shapeId="0" xr:uid="{A8685E8F-2EC7-4478-BD0D-30ED51A1F26F}">
      <text>
        <r>
          <rPr>
            <b/>
            <sz val="9"/>
            <color indexed="81"/>
            <rFont val="Tahoma"/>
            <family val="2"/>
          </rPr>
          <t>Max Lau:</t>
        </r>
        <r>
          <rPr>
            <sz val="9"/>
            <color indexed="81"/>
            <rFont val="Tahoma"/>
            <family val="2"/>
          </rPr>
          <t xml:space="preserve">
From Comps given Base Case FY24 Adj. EBITDA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tc={F3CD0BDD-B761-4ACB-B772-74E44DE5DC5E}</author>
  </authors>
  <commentList>
    <comment ref="F8" authorId="0" shapeId="0" xr:uid="{F3CD0BDD-B761-4ACB-B772-74E44DE5DC5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2017 Balance Sheet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tc={DA7535C2-F406-4502-BDF9-10C6B3869B1D}</author>
  </authors>
  <commentList>
    <comment ref="K33" authorId="0" shapeId="0" xr:uid="{DA7535C2-F406-4502-BDF9-10C6B3869B1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Quarter Average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tc={BDC4BDAE-846C-47F6-AA99-B3218B8F2B40}</author>
  </authors>
  <commentList>
    <comment ref="F17" authorId="0" shapeId="0" xr:uid="{BDC4BDAE-846C-47F6-AA99-B3218B8F2B4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CFO - CapEx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tc={0368F4B8-674D-41DE-9DF7-F5183DD8F296}</author>
  </authors>
  <commentList>
    <comment ref="H7" authorId="0" shapeId="0" xr:uid="{0368F4B8-674D-41DE-9DF7-F5183DD8F29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Average Long-Term Debt Interest Rate</t>
        </r>
      </text>
    </comment>
  </commentList>
</comments>
</file>

<file path=xl/sharedStrings.xml><?xml version="1.0" encoding="utf-8"?>
<sst xmlns="http://schemas.openxmlformats.org/spreadsheetml/2006/main" count="1076" uniqueCount="823">
  <si>
    <t>Clare Lau &amp; Max Lau</t>
  </si>
  <si>
    <t>Date</t>
  </si>
  <si>
    <t>Share Price</t>
  </si>
  <si>
    <t>Income Statement</t>
  </si>
  <si>
    <t>$ in millions, unless otherwise noted</t>
  </si>
  <si>
    <t>For Fiscal Year Ending</t>
  </si>
  <si>
    <t>Total Revenue</t>
  </si>
  <si>
    <t>Gross Profit</t>
  </si>
  <si>
    <t>EBIT</t>
  </si>
  <si>
    <t>Interest Expense</t>
  </si>
  <si>
    <t>Net Income</t>
  </si>
  <si>
    <t>Minority Interest</t>
  </si>
  <si>
    <t>Balance Sheet</t>
  </si>
  <si>
    <t>ASSETS</t>
  </si>
  <si>
    <t>Cash &amp; Equivalents</t>
  </si>
  <si>
    <t>Accounts Receivables</t>
  </si>
  <si>
    <t>Other Current Assets</t>
  </si>
  <si>
    <t>Total Current Assets</t>
  </si>
  <si>
    <t>Property, Plant &amp; Equipment</t>
  </si>
  <si>
    <t>Other Non-Current Assets</t>
  </si>
  <si>
    <t>Total Assets</t>
  </si>
  <si>
    <t>Accounts Payable</t>
  </si>
  <si>
    <t>Short-Term Debt</t>
  </si>
  <si>
    <t>Other Current Liabilities</t>
  </si>
  <si>
    <t>Total Current Liabilities</t>
  </si>
  <si>
    <t>Other Non-Current Liabilities</t>
  </si>
  <si>
    <t>Total Liabilities</t>
  </si>
  <si>
    <t>Common Stock</t>
  </si>
  <si>
    <t>Retained Earnings</t>
  </si>
  <si>
    <t>Other Equity</t>
  </si>
  <si>
    <t>Total Equity</t>
  </si>
  <si>
    <t>Total Liabilities &amp; Equity</t>
  </si>
  <si>
    <t>LIABILITIES &amp; EQUITY</t>
  </si>
  <si>
    <t>Balance Check</t>
  </si>
  <si>
    <t>Cash Flow Statement</t>
  </si>
  <si>
    <t>Stock-Based Compensation</t>
  </si>
  <si>
    <t>Other Operating Activities</t>
  </si>
  <si>
    <t>Change In Net Working Capital</t>
  </si>
  <si>
    <t>Cash Flow From Operations</t>
  </si>
  <si>
    <t>Capital Expenditures</t>
  </si>
  <si>
    <t>Other Investing Activities</t>
  </si>
  <si>
    <t>Cash Flow From Investing</t>
  </si>
  <si>
    <t>Common Stock Issuance</t>
  </si>
  <si>
    <t>Common Stock Repurchase</t>
  </si>
  <si>
    <t>Common Dividends Paid</t>
  </si>
  <si>
    <t>Other Financing Activities</t>
  </si>
  <si>
    <t>Cash Flow From Financing</t>
  </si>
  <si>
    <t>Foreign Exchange Adjustment</t>
  </si>
  <si>
    <t>Net Change In Cash</t>
  </si>
  <si>
    <t>Revenue Build</t>
  </si>
  <si>
    <t>Operating Expense Build</t>
  </si>
  <si>
    <t>Debt Schedule</t>
  </si>
  <si>
    <t>Equity Schedule</t>
  </si>
  <si>
    <t xml:space="preserve">Net Working Capital </t>
  </si>
  <si>
    <t>Circ (0 = off)</t>
  </si>
  <si>
    <t>Beginning Cash Balance</t>
  </si>
  <si>
    <t>(–) Minimum Cash Balance</t>
  </si>
  <si>
    <t>(+) Free Cash Flows</t>
  </si>
  <si>
    <t>(–) Paydown</t>
  </si>
  <si>
    <t>(+) Drawdown</t>
  </si>
  <si>
    <t>Beginning Balance</t>
  </si>
  <si>
    <t>Ending Balance</t>
  </si>
  <si>
    <t>(+) Issuance</t>
  </si>
  <si>
    <t>Total Debt</t>
  </si>
  <si>
    <t>Net Debt</t>
  </si>
  <si>
    <t>EBITDA</t>
  </si>
  <si>
    <t>Net Leverage</t>
  </si>
  <si>
    <t>Credit Analysis</t>
  </si>
  <si>
    <t>Current Portion Of Long-Term Debt</t>
  </si>
  <si>
    <t>Non-Current Portion Of Long-Term Debt</t>
  </si>
  <si>
    <t>Current Portion Of Long-Term Debt As % Of Total Debt</t>
  </si>
  <si>
    <t>Short-Term Debt As % Of Total Debt</t>
  </si>
  <si>
    <t>Short-Term Debt Interest Expense</t>
  </si>
  <si>
    <t>Long-Term Debt Interest Expense</t>
  </si>
  <si>
    <t>Total Interest Expense</t>
  </si>
  <si>
    <t>Total Interest Income</t>
  </si>
  <si>
    <t>Step</t>
  </si>
  <si>
    <t>(+) Net Income</t>
  </si>
  <si>
    <t>(–) Common Dividends</t>
  </si>
  <si>
    <t>(–) Share Repurchases</t>
  </si>
  <si>
    <t>(+) Stock-Based Compensation</t>
  </si>
  <si>
    <t>Stock-Based Compensation As % Of Revenue</t>
  </si>
  <si>
    <t>Common Dividends As % Of Revenue</t>
  </si>
  <si>
    <t>Share Repurchases As % Of Revenue</t>
  </si>
  <si>
    <t>LIABILITIES</t>
  </si>
  <si>
    <t>Net Working Capital</t>
  </si>
  <si>
    <t>Change</t>
  </si>
  <si>
    <t>Drivers</t>
  </si>
  <si>
    <t>Revenue</t>
  </si>
  <si>
    <t>Inventory Purchases</t>
  </si>
  <si>
    <t>Other Current Assets As % Of Revenue</t>
  </si>
  <si>
    <t>Other Current Liabilities As % Of Revenue</t>
  </si>
  <si>
    <t>Days Outstanding</t>
  </si>
  <si>
    <t>Days Sales Outstanding</t>
  </si>
  <si>
    <t>Days Inventory Outstanding</t>
  </si>
  <si>
    <t>Days Payable Outstanding</t>
  </si>
  <si>
    <t>(+) CapEx</t>
  </si>
  <si>
    <t>(–) Depreciation</t>
  </si>
  <si>
    <t>PPE Build</t>
  </si>
  <si>
    <t>CapEx As % Of Revenue</t>
  </si>
  <si>
    <t>Depreciation As % Of Revenue</t>
  </si>
  <si>
    <t>Beta Regression Analysis</t>
  </si>
  <si>
    <t>Total</t>
  </si>
  <si>
    <t>S&amp;P 500 Price</t>
  </si>
  <si>
    <t>S&amp;P 500 Return</t>
  </si>
  <si>
    <t>WACC</t>
  </si>
  <si>
    <t>Inputs</t>
  </si>
  <si>
    <t>Cost of Debt Calculation</t>
  </si>
  <si>
    <t>Risk-Free Rate</t>
  </si>
  <si>
    <t>Pre-Tax Cost of Debt</t>
  </si>
  <si>
    <t>Ticker</t>
  </si>
  <si>
    <t>Equity Risk Premium</t>
  </si>
  <si>
    <t>Corporate Tax Rate</t>
  </si>
  <si>
    <t>Beta</t>
  </si>
  <si>
    <t>After-Tax Cost of Debt</t>
  </si>
  <si>
    <t>Common Shares</t>
  </si>
  <si>
    <t>Cost of Equity Calculation</t>
  </si>
  <si>
    <t>Market Value of Debt</t>
  </si>
  <si>
    <t>Cost of Equity</t>
  </si>
  <si>
    <t>Median</t>
  </si>
  <si>
    <t>WACC Calculation</t>
  </si>
  <si>
    <t>Mean</t>
  </si>
  <si>
    <t>Market Value</t>
  </si>
  <si>
    <t>Amount</t>
  </si>
  <si>
    <t>% of Total</t>
  </si>
  <si>
    <t>Cost of Capital</t>
  </si>
  <si>
    <t>Market Value of Equity</t>
  </si>
  <si>
    <t>Weighted Average Cost of Capital</t>
  </si>
  <si>
    <t>Discounted Cash Flow Analysis</t>
  </si>
  <si>
    <t>(–) SG&amp;A Expense</t>
  </si>
  <si>
    <t>(–) Other Operating Expense</t>
  </si>
  <si>
    <t>(–) Taxes</t>
  </si>
  <si>
    <t>NOPAT</t>
  </si>
  <si>
    <t>(+) D&amp;A Expense</t>
  </si>
  <si>
    <t>(–) Capital Expenditures</t>
  </si>
  <si>
    <t>(–) Change in Net Working Capital</t>
  </si>
  <si>
    <t>Unlevered Free Cash Flow</t>
  </si>
  <si>
    <t>Discount Period</t>
  </si>
  <si>
    <t>Discount Factor</t>
  </si>
  <si>
    <t>Present Value Of Unlevered Free Cash Flow</t>
  </si>
  <si>
    <t>Sum of Cash Flows</t>
  </si>
  <si>
    <t>Exit Multiple Method</t>
  </si>
  <si>
    <t>2027E EBITDA</t>
  </si>
  <si>
    <t>Terminal Multiple</t>
  </si>
  <si>
    <t>Terminal Value</t>
  </si>
  <si>
    <t>Sum Of Cash Flows</t>
  </si>
  <si>
    <t>Total Enterprise Value</t>
  </si>
  <si>
    <t>(–) Debt</t>
  </si>
  <si>
    <t>(+) Cash</t>
  </si>
  <si>
    <t>Equity Value</t>
  </si>
  <si>
    <t>Shares Outstanding</t>
  </si>
  <si>
    <t>Implied Share Price</t>
  </si>
  <si>
    <t>Upside / Downside</t>
  </si>
  <si>
    <t>Quanta Services (NYSE: PWR) Model</t>
  </si>
  <si>
    <t>Revenue Case</t>
  </si>
  <si>
    <t>Expense Case</t>
  </si>
  <si>
    <t>Financing Case</t>
  </si>
  <si>
    <t>Revenues</t>
  </si>
  <si>
    <t>Contract Assets</t>
  </si>
  <si>
    <t>Inventories</t>
  </si>
  <si>
    <t>Current Portion of Long-Term Debt</t>
  </si>
  <si>
    <t>Long-Term Debt, Net of Current Portion</t>
  </si>
  <si>
    <t>Treasury Stock</t>
  </si>
  <si>
    <t>Contract Liabilities</t>
  </si>
  <si>
    <t>Depreciation</t>
  </si>
  <si>
    <t>Amortization Of Intangibles</t>
  </si>
  <si>
    <t>Provision For Income Tax</t>
  </si>
  <si>
    <t>EBT</t>
  </si>
  <si>
    <t>Cost Of Services</t>
  </si>
  <si>
    <t>Other Operating Expenses</t>
  </si>
  <si>
    <t>SG&amp;A Expense</t>
  </si>
  <si>
    <t>Interest Income</t>
  </si>
  <si>
    <t>Other Expense, Net</t>
  </si>
  <si>
    <t>Contract Assets As % Of Revenue</t>
  </si>
  <si>
    <t>Contract Liabiltiies As % Of Revenue</t>
  </si>
  <si>
    <t>(+) Other Equity</t>
  </si>
  <si>
    <t>Amortization Of Intangibles &amp; Goodwill</t>
  </si>
  <si>
    <t>Senior Credit Facility Needs Analysis</t>
  </si>
  <si>
    <t>Cash Available To Pay Down Senior Credit Facility</t>
  </si>
  <si>
    <t>Total Long-Term Debt</t>
  </si>
  <si>
    <t>Average Long-Term Debt Interest Rate</t>
  </si>
  <si>
    <t>Average Short-Term Debt Interest Rate</t>
  </si>
  <si>
    <t>Average Senior Credit Facility Interest Rate</t>
  </si>
  <si>
    <t>% margin</t>
  </si>
  <si>
    <t>Adjusted EBITDA</t>
  </si>
  <si>
    <t>Intangibles &amp; Goodwill Build</t>
  </si>
  <si>
    <t>(–) Amortization</t>
  </si>
  <si>
    <t>(+) Acquisition Of Intangibles &amp; Goodwill</t>
  </si>
  <si>
    <t>Amortization As % Of Revenue</t>
  </si>
  <si>
    <t>Intangibles &amp; Goodwill</t>
  </si>
  <si>
    <t>Senior Credit Facility Drawdown</t>
  </si>
  <si>
    <t>Senior Credit Facility Paydown</t>
  </si>
  <si>
    <t xml:space="preserve">Senior Credit Facility </t>
  </si>
  <si>
    <t>Long-Term Debt (Net Of Senior Credit Facility)</t>
  </si>
  <si>
    <t>(–) Excess Cash</t>
  </si>
  <si>
    <t>Non-Current Portion Of Long-Term Debt As % Of Total Debt</t>
  </si>
  <si>
    <t>Interest Coverage Ratio</t>
  </si>
  <si>
    <t>Senior Credit Facility Interest Expense</t>
  </si>
  <si>
    <t>Cash Balance</t>
  </si>
  <si>
    <t>Balance</t>
  </si>
  <si>
    <t>Weighted Interest Rate</t>
  </si>
  <si>
    <t>Rate</t>
  </si>
  <si>
    <t>Senior Notes due January 2032</t>
  </si>
  <si>
    <t>Senior Notes due October 2041</t>
  </si>
  <si>
    <t>Senior Notes due October 2024</t>
  </si>
  <si>
    <t xml:space="preserve">Senior Notes due October 2030 </t>
  </si>
  <si>
    <t>Long Term Debt Obligations (As Of FYE22)</t>
  </si>
  <si>
    <t>Valuation Case</t>
  </si>
  <si>
    <t>Short-Term Debt Issuance (Repayment)</t>
  </si>
  <si>
    <t>Long-Term Debt Issuance (Repayment)</t>
  </si>
  <si>
    <t>Leverage Ratio</t>
  </si>
  <si>
    <t>% effective tax rate</t>
  </si>
  <si>
    <t>Average Interest Rate On Cash</t>
  </si>
  <si>
    <t>x</t>
  </si>
  <si>
    <t>Company Name</t>
  </si>
  <si>
    <t>Market Cap.</t>
  </si>
  <si>
    <t>Enterprise Value</t>
  </si>
  <si>
    <t>2023E EBITDA</t>
  </si>
  <si>
    <t>2023E Revenue</t>
  </si>
  <si>
    <t>EV / EBITDA</t>
  </si>
  <si>
    <t>EV / Revenue</t>
  </si>
  <si>
    <t>Forward P / E</t>
  </si>
  <si>
    <t>Quanta Services</t>
  </si>
  <si>
    <t>PWR</t>
  </si>
  <si>
    <t>MasTec</t>
  </si>
  <si>
    <t>MTZ</t>
  </si>
  <si>
    <t>MYR Group</t>
  </si>
  <si>
    <t>MYRG</t>
  </si>
  <si>
    <t>Share Count (M)</t>
  </si>
  <si>
    <t>2022A Debt</t>
  </si>
  <si>
    <t>2022A Cash</t>
  </si>
  <si>
    <t>25th Percentile</t>
  </si>
  <si>
    <t>75th Percentile</t>
  </si>
  <si>
    <t>Comparable Companies Analysis</t>
  </si>
  <si>
    <t>2023E Adj. EBITDA</t>
  </si>
  <si>
    <t>2023E Adj. EPS</t>
  </si>
  <si>
    <t>Gross Margin</t>
  </si>
  <si>
    <t>EBIT Margin</t>
  </si>
  <si>
    <t>EBITDA Margin</t>
  </si>
  <si>
    <t>Total Debt / Equity</t>
  </si>
  <si>
    <t>Current Ratio</t>
  </si>
  <si>
    <t>Valuation Metrics</t>
  </si>
  <si>
    <t>Operating &amp; Liquidity Metrics</t>
  </si>
  <si>
    <t>2023E Gross Profit</t>
  </si>
  <si>
    <t>2023E EBIT</t>
  </si>
  <si>
    <t>2023E FCF</t>
  </si>
  <si>
    <t>FCF Margin</t>
  </si>
  <si>
    <t>NTM Net Leverage</t>
  </si>
  <si>
    <t>NTM Interest Cov.</t>
  </si>
  <si>
    <t>Relative Valuation – 25th Percentile</t>
  </si>
  <si>
    <t xml:space="preserve">EV / EBITDA </t>
  </si>
  <si>
    <t>Total Equity Value</t>
  </si>
  <si>
    <t>Relative Valuation – Median</t>
  </si>
  <si>
    <t>Relative Valuation – Mean</t>
  </si>
  <si>
    <t>Relative Valuation – 75th Percentile</t>
  </si>
  <si>
    <t>PWR Price</t>
  </si>
  <si>
    <t>PWR Return</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</si>
  <si>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</si>
  <si>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</si>
  <si>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</si>
  <si>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</si>
  <si>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</si>
  <si>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</si>
  <si>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</si>
  <si>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</si>
  <si>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</si>
  <si>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</si>
  <si>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</si>
  <si>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</si>
  <si>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</si>
  <si>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</si>
  <si>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</si>
  <si>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</si>
  <si>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</si>
  <si>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</si>
  <si>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</si>
  <si>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</si>
  <si>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</si>
  <si>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</si>
  <si>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X Variable 1</t>
  </si>
  <si>
    <t>(–) Cost Of Services</t>
  </si>
  <si>
    <t>(–) Amortization Of Intangibles</t>
  </si>
  <si>
    <t>PV Of Terminal Value</t>
  </si>
  <si>
    <t>Electric Power Revenues</t>
  </si>
  <si>
    <t>% growth</t>
  </si>
  <si>
    <t>Base</t>
  </si>
  <si>
    <t>Bull</t>
  </si>
  <si>
    <t>Bear</t>
  </si>
  <si>
    <t>Electric Power Backlog</t>
  </si>
  <si>
    <t>Electric Power Backlog Revenue Recognition Rate</t>
  </si>
  <si>
    <t>Electric Power Infrastructure Solutions</t>
  </si>
  <si>
    <t>Renewable Energy Infrastructure Solutions</t>
  </si>
  <si>
    <t>Renewable Energy Revenues</t>
  </si>
  <si>
    <t>Renewable Energy Backlog</t>
  </si>
  <si>
    <t>Renewable Energy Backlog Revenue Recognition Rate</t>
  </si>
  <si>
    <t>Underground Utility &amp; Infrastructure Solutions</t>
  </si>
  <si>
    <t>Underground Utility Revenues</t>
  </si>
  <si>
    <t>Underground Utility Backlog</t>
  </si>
  <si>
    <t>Underground Utility Backlog Revenue Recognition Rate</t>
  </si>
  <si>
    <t>Total Revenues</t>
  </si>
  <si>
    <t>Revenues are based on backlog from the end of the prior year multiplied by the revenue recognition rate. We assumed no deviation in the electric power backlog revenue recognition rate from the prior year. We expect base case revenues' growth to increase over the next few years, as grid hardening and modernization initiatives, electrification, and EV adoption become more relevant. Our base case reflects a backlog increase resulting from an acceleration of the energy transition. Our bear case reflects moderate growth in FY23 (resulting from currently announced projects) and slowed growth from '24 - '27, resulting from potential regulatory/NIMBY/permitting issues</t>
  </si>
  <si>
    <t>Revenues are based on backlog from the end of the prior year multiplied by the revenue recognition rate. We assumed significant decreases in the recognition rate resulting from maturity of the backlog and 100%+ recognition losing feasibility. Our base case showcases 60% backlog growth in '23, resulting from the SunZia Transmission &amp; Wind project, as detailed in recent earnings calls. '24 -'27 are expected to see slower, albeit high revenue growth, as the BIL &amp; IRA benefits are realized, the grid is able to support more renewable generation/T&amp;D, and the energy transition progresses. Our bull case reflects faster completion of the SunZia project, as well as accelerated timelines of the BIL &amp; IRA benefits being realized, the grid being able to support more renewable generation/T&amp;D, and the energy transition progression. Our bear case reflects delays in SunZia and decelerated timelines of the aforementioned drivers.</t>
  </si>
  <si>
    <t xml:space="preserve">Revenues are based on backlog from the end of the prior year multiplied by the revenue recognition rate. We no significant changes in the recognition rate due to the maturity of the segment backlog. Our base case reflects slower/slowing growth in the segment resulting from management's conscious shift away from Underground Utility Infrastructure. Our bull case reflects slower but steady growth in the segment resulting from recurring pipeline repair/refurbishment/integrity maintenance. Our bear case reflects a lack of growth in the segment resulting from management's focus shift, less pipeline integrity services, and permit/right of way issues preventing pipeline work. </t>
  </si>
  <si>
    <t>% of revenue</t>
  </si>
  <si>
    <t>Commentary</t>
  </si>
  <si>
    <t>Net Income Attributable To Common Stock</t>
  </si>
  <si>
    <t>Depreciation Expense</t>
  </si>
  <si>
    <t>Interest, Taxes, &amp; D&amp;A In Earnings Of Affiliates</t>
  </si>
  <si>
    <t>Acquisition &amp; Integration Costs</t>
  </si>
  <si>
    <t>Equity In Earnings Of Affiliates</t>
  </si>
  <si>
    <t>Loss From Mark-To-Market Adjustment</t>
  </si>
  <si>
    <t>Gains On Sales Of Investments</t>
  </si>
  <si>
    <t>Asset Impairment Charges</t>
  </si>
  <si>
    <t>Change In Fair Value Of Contingent Liabilities</t>
  </si>
  <si>
    <t>Other Historical Adjustments</t>
  </si>
  <si>
    <t>EBITDA Reconciliation</t>
  </si>
  <si>
    <t>Interest Rate Adjustment</t>
  </si>
  <si>
    <t>EPS Reconciliation</t>
  </si>
  <si>
    <t>Weighted Average Diluted Shares</t>
  </si>
  <si>
    <t>GAAP Earnings Per Share</t>
  </si>
  <si>
    <t>(–) Stub Year</t>
  </si>
  <si>
    <t>Bloomberg WACC is 9.0%</t>
  </si>
  <si>
    <t>Bloomberg Beta is .93</t>
  </si>
  <si>
    <t>GAAP P/E</t>
  </si>
  <si>
    <t>Total Backlog</t>
  </si>
  <si>
    <t>Book-To-Bill</t>
  </si>
  <si>
    <t>Book-To-Bill Ratio</t>
  </si>
  <si>
    <t>Liquidity Ratios</t>
  </si>
  <si>
    <t>Company</t>
  </si>
  <si>
    <t>Leverage and Solvency Ratios</t>
  </si>
  <si>
    <t>Efficiency Ratios</t>
  </si>
  <si>
    <t>Profitability Ratios</t>
  </si>
  <si>
    <t>Total Asset Turnover</t>
  </si>
  <si>
    <t>Accounts Receivable Turns</t>
  </si>
  <si>
    <t>Inventory Turnover</t>
  </si>
  <si>
    <t>Debt to Equity</t>
  </si>
  <si>
    <t>Debt to Capital</t>
  </si>
  <si>
    <t>Interest Coverage</t>
  </si>
  <si>
    <t>Net Leverage Ratio</t>
  </si>
  <si>
    <t>Quick Ratio</t>
  </si>
  <si>
    <t>NYSE:MTZ</t>
  </si>
  <si>
    <t>NYSE:PWR</t>
  </si>
  <si>
    <t>NASDAQ:MYRG</t>
  </si>
  <si>
    <t>Gross Profit Margin</t>
  </si>
  <si>
    <t>Net Income Margin</t>
  </si>
  <si>
    <t>Return on Assets</t>
  </si>
  <si>
    <t>Return on Equity</t>
  </si>
  <si>
    <t>Return on Invested Capital</t>
  </si>
  <si>
    <t>BAABTAVMT0NBTAFI/////wFQHggAAB9DSVEuU0hTRTo2MDAwMzEuSVFfQ09NUEFOWV9OQU1FAQAAAC9QWQADAAAAG1NhbnkgSGVhdnkgSW5kdXN0cnkgQ28uLEx0ZAAzkXCX3rfbCOvSgN/et9sIHENJUS5OWVNFOlRFWC5JUV9DT01QQU5ZX05BTUUBAAAADrMEAAMAAAARVGVyZXggQ29ycG9yYXRpb24AM5Fwl9632wjr0oDf3rfbCBxDSVEuTlNFSTpNJk0uSVFfQ09NUEFOWV9OQU1FAQAAAEJnDQADAAAAG01haGluZHJhICYgTWFoaW5kcmEgTGltaXRlZAAzkXCX3rfbCOvSgN/et9sIHUNJUS5OWVNFOkNOSEkuSVFfQ09NUEFOWV9OQU1FAQAAAE5iGQYDAAAAE0NOSCBJbmR1c3RyaWFsIE4uVi4AM5Fwl9632wjr0oDf3rfbCBtDSVEuTllTRTpERS5JUV9DT01QQU5ZX05BTUUBAAAAgA8EAAMAAAAPRGVlcmUgJiBDb21wYW55ADORcJfet9sI69KA39632wgdQ0lRLk5ZU0U6QUdDTy5JUV9DT01QQU5ZX05BTUUBAAAAT9gEAAMAAAAQQUdDTyBDb3Jwb3JhdGlvbgAzkXCX3rfbCOvSgN/et9sIHENJUS5OWVNFOkNBVC5JUV9DT01QQU5ZX05BTUUBAAAAMvUDAAMAAAAQQ2F0ZXJwaWxsYXIgSW5jLgAzkXCX3rfbCOvSgN/et9sIHENJUS5UU0U6NjMyNi5JUV9DT01QQU5ZX05BTUUBAAAAGVcEAAMAAAASS3Vib3RhIENvcnBvcmF0aW9uADORcJfet9sI69KA39632wghQ0lRLk5BU0RBUUNNOlRPUk8uSVFfQ09NUEFO</t>
  </si>
  <si>
    <t>WV9OQU1FAQAAAHl7NmwDAAAAClRvcm8gQ29ycC4AM5Fwl9632wjr0oDf3rfbCBxDSVEuVFNFOjY1MDEuSVFfQ09NUEFOWV9OQU1FAQAAAJstAgADAAAADUhpdGFjaGksIEx0ZC4AM5Fwl9632wjr0oDf3rfbCDRDSVEuTllTRTpERS5JUV9ORVRfREVCVF9FQklUREEuMTAwMC4xMi8zMS8yMDIxLi4uVVNEAQAAAIAPBAACAAAACDQuNTY3OTc2AQgAAAAFAAAAATEBAAAACy0yMDY1Mzg4NDk1AwAAAAMxNjACAAAABDQxOTMEAAAAATAHAAAACjEyLzMxLzIwMjEIAAAACjEwLzMxLzIwMjEJAAAAATDQYtG13rfbCMQQ/7Xet9sIOENJUS5TSFNFOjYwMDAzMS5JUV9ORVRfREVCVF9FQklUREEuMTAwMC4xMi8zMS8yMDE0Li4uVVNEAQAAAC9QWQACAAAACDUuNzY3NDA4AQgAAAAFAAAAATEBAAAACjE3ODkwMDgxMzgDAAAAAjMyAgAAAAQ0MTkzBAAAAAEwBwAAAAoxMi8zMS8yMDE0CAAAAAoxMi8zMS8yMDE0CQAAAAEw0GLRtd632wjEEP+13rfbCDRDSVEuTllTRTpERS5JUV9ORVRfREVCVF9FQklUREEuMTAwMC4xMi8zMS8yMDE3Li4uVVNEAQAAAIAPBAACAAAACDcuMDQyODE2AQgAAAAFAAAAATEBAAAACjE5OTY5OTg3MDYDAAAAAzE2MAIAAAAENDE5MwQAAAABMAcAAAAKMTIvMzEvMjAxNwgAAAAKMTAvMjkvMjAxNwkAAAABMNBi0bXet9sIxBD/td632wg1Q0lRLk5TRUk6TSZNLklRX05FVF9ERUJUX0VCSVREQS4x</t>
  </si>
  <si>
    <t>MDAwLjEyLzMxLzIwMTQuLi5VU0QBAAAAQmcNAAIAAAAIMi42MDMzMTQBCAAAAAUAAAABMQEAAAAKMTc0NTcyODc2MwMAAAACNzICAAAABDQxOTMEAAAAATAHAAAACjEyLzMxLzIwMTQIAAAACTMvMzEvMjAxNAkAAAABMNBi0bXet9sIxBD/td632wggQ0lRLk5ZU0U6REUuSVFfVE9UQUxfREVCVF9FQklUREEBAAAAgA8EAAIAAAAINC4yNzk3ODgBCAAAAAUAAAABMQEAAAALLTIwMjg0MzIwMTkDAAAAAzE2MAIAAAAENDE5MgQAAAABMAcAAAAJOS8xOC8yMDIzCAAAAAk3LzMwLzIwMjMJAAAAATDQYtG13rfbCMQQ/7Xet9sIJENJUS5TSFNFOjYwMDAzMS5JUV9UT1RBTF9ERUJUX0VCSVREQQEAAAAvUFkAAgAAAAg0Ljc4NDI2MwEIAAAABQAAAAExAQAAAAstMjAyODE1NjQwMQMAAAACMzICAAAABDQxOTIEAAAAATAHAAAACTkvMTgvMjAyMwgAAAAJNi8zMC8yMDIzCQAAAAEw0GLRtd632wjEEP+13rfbCCFDSVEuTllTRTpURVguSVFfVE9UQUxfREVCVF9FQklUREEBAAAADrMEAAIAAAAIMS4wNzI4MTEBCAAAAAUAAAABMQEAAAALLTIwMzU3OTcwNDADAAAAAzE2MAIAAAAENDE5MgQAAAABMAcAAAAJOS8xOC8yMDIzCAAAAAk2LzMwLzIwMjMJAAAAATDQYtG13rfbCMQQ/7Xet9sIIUNJUS5OU0VJOk0mTS5JUV9UT1RBTF9ERUJUX0VCSVREQQEAAABCZw0AAgAAAAg0LjI1MjQxMwEIAAAABQAAAAExAQAAAAstMjAz</t>
  </si>
  <si>
    <t>NTYxNzU2NgMAAAACNzICAAAABDQxOTIEAAAAATAHAAAACTkvMTgvMjAyMwgAAAAJNi8zMC8yMDIzCQAAAAEw0GLRtd632wjEEP+13rfbCCJDSVEuTllTRTpDTkhJLklRX1RPVEFMX0RFQlRfRUJJVERBAQAAAE5iGQYCAAAACDcuMTQ5NjczAQgAAAAFAAAAATEBAAAACy0yMDM1OTMwMDAyAwAAAAMxNjACAAAABDQxOTIEAAAAATAHAAAACTkvMTgvMjAyMwgAAAAJNi8zMC8yMDIzCQAAAAEw0GLRtd632wjEEP+13rfbCC9DSVEuTllTRTpERS5JUV9FQklUREFfSU5ULjEwMDAuMTIvMzEvMjAxOS4uLlVTRAEAAACADwQAAgAAAAgyNi42MzM2MgEIAAAABQAAAAExAQAAAAstMjExNjc4NTA2NAMAAAADMTYwAgAAAAQ0MTkwBAAAAAEwBwAAAAoxMi8zMS8yMDE5CAAAAAkxMS8zLzIwMTkJAAAAATDQYtG13rfbCMQQ/7Xet9sIM0NJUS5TSFNFOjYwMDAzMS5JUV9FQklUREFfSU5ULjEwMDAuMTIvMzEvMjAxNy4uLlVTRAEAAAAvUFkAAgAAAAg4Ljc2Nzc0NgEIAAAABQAAAAExAQAAAAoxOTUyNjIwMzg5AwAAAAIzMgIAAAAENDE5MAQAAAABMAcAAAAKMTIvMzEvMjAxNwgAAAAKMTIvMzEvMjAxNwkAAAABMNBi0bXet9sIxBD/td632wgwQ0lRLk5ZU0U6VEVYLklRX0VCSVREQV9JTlQuMTAwMC4xMi8zMS8yMDE1Li4uVVNEAQAAAA6zBAACAAAACDMuNzE2MDAzAQgAAAAFAAAAATEBAAAACjE4NzQ4MzI2NjMDAAAAAzE2</t>
  </si>
  <si>
    <t>MAIAAAAENDE5MAQAAAABMAcAAAAKMTIvMzEvMjAxNQgAAAAKMTIvMzEvMjAxNQkAAAABMNBi0bXet9sIxBD/td632wgvQ0lRLk5ZU0U6REUuSVFfRUJJVERBX0lOVC4xMDAwLjEyLzMxLzIwMjAuLi5VU0QBAAAAgA8EAAIAAAAJMTguNDkxODAzAQgAAAAFAAAAATEBAAAACy0yMTE2Nzg1MDY5AwAAAAMxNjACAAAABDQxOTAEAAAAATAHAAAACjEyLzMxLzIwMjAIAAAACTExLzEvMjAyMAkAAAABMNBi0bXet9sIxBD/td632wgwQ0lRLk5TRUk6TSZNLklRX0VCSVREQV9JTlQuMTAwMC4xMi8zMS8yMDE4Li4uVVNEAQAAAEJnDQACAAAACDMuMzE4NzU2AQgAAAAFAAAAATEBAAAACjE5NzA2MzgxMTADAAAAAjcyAgAAAAQ0MTkwBAAAAAEwBwAAAAoxMi8zMS8yMDE4CAAAAAkzLzMxLzIwMTgJAAAAATDQYtG13rfbCMQQ/7Xet9sIMUNJUS5OWVNFOkNOSEkuSVFfRUJJVERBX0lOVC4xMDAwLjEyLzMxLzIwMTMuLi5VU0QBAAAATmIZBgIAAAAINS44MDQ4MzIBCAAAAAUAAAABMQEAAAAKMTgyMTY4NzYyMAMAAAADMTYwAgAAAAQ0MTkwBAAAAAEwBwAAAAoxMi8zMS8yMDEzCAAAAAoxMi8zMS8yMDEzCQAAAAEw0GLRtd632wjEEP+13rfbCDFDSVEuTllTRTpERS5JUV9UT1RBTF9ERUJUX0NBUElUQUwuMTAwMC4xMi8zMS8yMDE4AQAAAIAPBAACAAAABzc5LjAzMDIBCAAAAAUAAAABMQEAAAAKMjA3NTI0NzExOQMAAAAD</t>
  </si>
  <si>
    <t>MTYwAgAAAAQ0MTg2BAAAAAEwBwAAAAoxMi8zMS8yMDE4CAAAAAoxMC8yOC8yMDE4CQAAAAEw0GLRtd632wjEEP+13rfbCDVDSVEuU0hTRTo2MDAwMzEuSVFfVE9UQUxfREVCVF9DQVBJVEFMLjEwMDAuMTIvMzAvMjAxNgEAAAAvUFkAAgAAAAc1Mi40ODQ5AQgAAAAFAAAAATEBAAAACjE4Mzg1MzkwNTcDAAAAAjMyAgAAAAQ0MTg2BAAAAAEwBwAAAAoxMi8zMC8yMDE2CAAAAAoxMi8zMS8yMDE1CQAAAAEw0GLRtd632wjEEP+13rfbCDJDSVEuTllTRTpURVguSVFfVE9UQUxfREVCVF9DQVBJVEFMLjEwMDAuMTIvMzEvMjAxNAEAAAAOswQAAgAAAAc0Ni43MzA1AQgAAAAFAAAAATEBAAAACjE4Mjk1ODIwNDcDAAAAAzE2MAIAAAAENDE4NgQAAAABMAcAAAAKMTIvMzEvMjAxNAgAAAAKMTIvMzEvMjAxNAkAAAABMNBi0bXet9sIxBD/td632wgxQ0lRLk5ZU0U6REUuSVFfVE9UQUxfREVCVF9DQVBJVEFMLjEwMDAuMTIvMzEvMjAxOQEAAACADwQAAgAAAAY3OS44OTgBCAAAAAUAAAABMQEAAAALLTIxMTY3ODUwNjQDAAAAAzE2MAIAAAAENDE4NgQAAAABMAcAAAAKMTIvMzEvMjAxOQgAAAAJMTEvMy8yMDE5CQAAAAEw0GLRtd632wjEEP+13rfbCDJDSVEuTlNFSTpNJk0uSVFfVE9UQUxfREVCVF9DQVBJVEFMLjEwMDAuMTIvMzEvMjAxNwEAAABCZw0AAgAAAAc1Ny40NjM3AQgAAAAFAAAAATEBAAAACjE4OTU0NjU0</t>
  </si>
  <si>
    <t>MzcDAAAAAjcyAgAAAAQ0MTg2BAAAAAEwBwAAAAoxMi8zMS8yMDE3CAAAAAkzLzMxLzIwMTcJAAAAATDQYtG13rfbCMQQ/7Xet9sIM0NJUS5OWVNFOkNOSEkuSVFfVE9UQUxfREVCVF9DQVBJVEFMLjEwMDAuMTIvMzEvMjAxNQEAAABOYhkGAgAAAAc4NC40MDA4AQgAAAAFAAAAATEBAAAACjE4Nzc2MDUwMjcDAAAAAzE2MAIAAAAENDE4NgQAAAABMAcAAAAKMTIvMzEvMjAxNQgAAAAKMTIvMzEvMjAxNQkAAAABMNBi0bXet9sIxBD/td632wgwQ0lRLk5ZU0U6REUuSVFfVE9UQUxfREVCVF9FUVVJVFkuMTAwMC4xMi8zMS8yMDIwAQAAAIAPBAACAAAACDM1OC40MDU0AQgAAAAFAAAAATEBAAAACy0yMTE2Nzg1MDY5AwAAAAMxNjACAAAABDQwMzQEAAAAATAHAAAACjEyLzMxLzIwMjAIAAAACTExLzEvMjAyMAkAAAABMNBi0bXet9sIxBD/td632wg0Q0lRLlNIU0U6NjAwMDMxLklRX1RPVEFMX0RFQlRfRVFVSVRZLjEwMDAuMTIvMzEvMjAxOAEAAAAvUFkAAgAAAAc0NS4yNTQzAQgAAAAFAAAAATEBAAAACjIwMzAxMjgyMjkDAAAAAjMyAgAAAAQ0MDM0BAAAAAEwBwAAAAoxMi8zMS8yMDE4CAAAAAoxMi8zMS8yMDE4CQAAAAEw0GLRtd632wjEEP+13rfbCDFDSVEuTllTRTpURVguSVFfVE9UQUxfREVCVF9FUVVJVFkuMTAwMC4xMi8zMC8yMDE2AQAAAA6zBAACAAAABzkzLjk4MDEBCAAAAAUAAAABMQEAAAAKMTg3</t>
  </si>
  <si>
    <t>NDgzMjY2MwMAAAADMTYwAgAAAAQ0MDM0BAAAAAEwBwAAAAoxMi8zMC8yMDE2CAAAAAoxMi8zMS8yMDE1CQAAAAEw0GLRtd632wjEEP+13rfbCDBDSVEuTllTRTpERS5JUV9UT1RBTF9ERUJUX0VRVUlUWS4xMDAwLjEyLzMxLzIwMjEBAAAAgA8EAAIAAAAIMjY0Ljg2MzgBCAAAAAUAAAABMQEAAAALLTIwNjUzODg0OTUDAAAAAzE2MAIAAAAENDAzNAQAAAABMAcAAAAKMTIvMzEvMjAyMQgAAAAKMTAvMzEvMjAyMQkAAAABMNBi0bXet9sIxBD/td632wgxQ0lRLk5TRUk6TSZNLklRX1RPVEFMX0RFQlRfRVFVSVRZLjEwMDAuMTIvMzEvMjAxOQEAAABCZw0AAgAAAAgxNDYuNTUwNAEIAAAABQAAAAExAQAAAAoyMDQ0OTQxNDEwAwAAAAI3MgIAAAAENDAzNAQAAAABMAcAAAAKMTIvMzEvMjAxOQgAAAAJMy8zMS8yMDE5CQAAAAEw0GLRtd632wjEEP+13rfbCDJDSVEuTllTRTpDTkhJLklRX1RPVEFMX0RFQlRfRVFVSVRZLjEwMDAuMTIvMzEvMjAxNwEAAABOYhkGAgAAAAg2MDguNzg1NQEIAAAABQAAAAExAQAAAAoyMDE5MzMzODk4AwAAAAMxNjACAAAABDQwMzQEAAAAATAHAAAACjEyLzMxLzIwMTcIAAAACjEyLzMxLzIwMTcJAAAAATDQYtG13rfbCMQQ/7Xet9sINENJUS5OWVNFOkRFLklRX05FVF9ERUJUX0VCSVREQS4xMDAwLjEyLzMxLzIwMjAuLi5VU0QBAAAAgA8EAAIAAAAINy4wMTQ3MTYBCAAAAAUAAAAB</t>
  </si>
  <si>
    <t>MQEAAAALLTIxMTY3ODUwNjkDAAAAAzE2MAIAAAAENDE5MwQAAAABMAcAAAAKMTIvMzEvMjAyMAgAAAAJMTEvMS8yMDIwCQAAAAEw0GLRtd632wjEEP+13rfbCDhDSVEuU0hTRTo2MDAwMzEuSVFfTkVUX0RFQlRfRUJJVERBLjEwMDAuMTIvMzEvMjAxMy4uLlVTRAEAAAAvUFkAAgAAAAgzLjY4NDM4OQEIAAAABQAAAAExAQAAAAoxNzI5NTQ1Njc2AwAAAAIzMgIAAAAENDE5MwQAAAABMAcAAAAKMTIvMzEvMjAxMwgAAAAKMTIvMzEvMjAxMwkAAAABMNBi0bXet9sIxBD/td632wg1Q0lRLk5ZU0U6Q0FULklRX05FVF9ERUJUX0VCSVREQS4xMDAwLjEyLzMxLzIwMjIuLi5VU0QBAAAAMvUDAAIAAAAIMi41OTY5ODUBCAAAAAUAAAABMQEAAAALLTIwNjA4ODE5MzcDAAAAAzE2MAIAAAAENDE5MwQAAAABMAcAAAAKMTIvMzEvMjAyMggAAAAKMTIvMzEvMjAyMgkAAAABMNBi0bXet9sIxBD/td632wg0Q0lRLk5ZU0U6REUuSVFfTkVUX0RFQlRfRUJJVERBLjEwMDAuMTIvMzAvMjAxNi4uLlVTRAEAAACADwQAAgAAAAg4LjQzNDEwMgEIAAAABQAAAAExAQAAAAoxOTM2MDA0OTc4AwAAAAMxNjACAAAABDQxOTMEAAAAATAHAAAACjEyLzMwLzIwMTYIAAAACjEwLzMwLzIwMTYJAAAAATDQYtG13rfbCMQQ/7Xet9sINUNJUS5OU0VJOk0mTS5JUV9ORVRfREVCVF9FQklUREEuMTAwMC4xMi8zMS8yMDEzLi4uVVNEAQAAAEJn</t>
  </si>
  <si>
    <t>DQACAAAACDIuNDM5Njc1AQgAAAAFAAAAATEBAAAACjE2OTAxMDIyNzUDAAAAAjcyAgAAAAQ0MTkzBAAAAAEwBwAAAAoxMi8zMS8yMDEzCAAAAAkzLzMxLzIwMTMJAAAAATDQYtG13rfbCMQQ/7Xet9sINkNJUS5OWVNFOkFHQ08uSVFfTkVUX0RFQlRfRUJJVERBLjEwMDAuMTIvMzEvMjAyMi4uLlVTRAEAAABP2AQAAgAAAAgwLjUxNTE0OQEIAAAABQAAAAExAQAAAAstMjA1OTAxMjYwNwMAAAADMTYwAgAAAAQ0MTkzBAAAAAEwBwAAAAoxMi8zMS8yMDIyCAAAAAoxMi8zMS8yMDIyCQAAAAEw0GLRtd632wjEEP+13rfbCC9DSVEuTllTRTpERS5JUV9FQklUREFfSU5ULjEwMDAuMTIvMzEvMjAxOC4uLlVTRAEAAACADwQAAgAAAAgyMi4xNjc5MQEIAAAABQAAAAExAQAAAAoyMDc1MjQ3MTE5AwAAAAMxNjACAAAABDQxOTAEAAAAATAHAAAACjEyLzMxLzIwMTgIAAAACjEwLzI4LzIwMTgJAAAAATDQYtG13rfbCMQQ/7Xet9sIM0NJUS5TSFNFOjYwMDAzMS5JUV9FQklUREFfSU5ULjEwMDAuMTIvMzAvMjAxNi4uLlVTRAEAAAAvUFkAAgAAAAgzLjMxMTczOQEIAAAABQAAAAExAQAAAAoxODM4NTM5MDU3AwAAAAIzMgIAAAAENDE5MAQAAAABMAcAAAAKMTIvMzAvMjAxNggAAAAKMTIvMzEvMjAxNQkAAAABMNBi0bXet9sIxBD/td632wgwQ0lRLk5ZU0U6VEVYLklRX0VCSVREQV9JTlQuMTAwMC4xMi8zMS8yMDE0Li4u</t>
  </si>
  <si>
    <t>VVNEAQAAAA6zBAACAAAACDQuMDcyNTM0AQgAAAAFAAAAATEBAAAACjE4Mjk1ODIwNDcDAAAAAzE2MAIAAAAENDE5MAQAAAABMAcAAAAKMTIvMzEvMjAxNAgAAAAKMTIvMzEvMjAxNAkAAAABMNBi0bXet9sIxBD/td632wgwQ0lRLk5TRUk6TSZNLklRX0VCSVREQV9JTlQuMTAwMC4xMi8zMS8yMDE3Li4uVVNEAQAAAEJnDQACAAAACDMuMDU5OTExAQgAAAAFAAAAATEBAAAACjE4OTU0NjU0MzcDAAAAAjcyAgAAAAQ0MTkwBAAAAAEwBwAAAAoxMi8zMS8yMDE3CAAAAAkzLzMxLzIwMTcJAAAAATDQYtG13rfbCMQQ/7Xet9sIMUNJUS5OWVNFOkRFLklRX1RPVEFMX0RFQlRfQ0FQSVRBTC4xMDAwLjEyLzMxLzIwMTcBAAAAgA8EAAIAAAAHODAuNzU1NAEIAAAABQAAAAExAQAAAAoxOTk2OTk4NzA2AwAAAAMxNjACAAAABDQxODYEAAAAATAHAAAACjEyLzMxLzIwMTcIAAAACjEwLzI5LzIwMTcJAAAAATDQYtG13rfbCMQQ/7Xet9sINUNJUS5TSFNFOjYwMDAzMS5JUV9UT1RBTF9ERUJUX0NBUElUQUwuMTAwMC4xMi8zMS8yMDE1AQAAAC9QWQACAAAABzUyLjQ4NDkBCAAAAAUAAAABMQEAAAAKMTgzODUzOTA1NwMAAAACMzICAAAABDQxODYEAAAAATAHAAAACjEyLzMxLzIwMTUIAAAACjEyLzMxLzIwMTUJAAAAATDQYtG13rfbCMQQ/7Xet9sIMkNJUS5OWVNFOlRFWC5JUV9UT1RBTF9ERUJUX0NBUElUQUwuMTAwMC4x</t>
  </si>
  <si>
    <t>Mi8zMS8yMDEzAQAAAA6zBAACAAAABzQ2LjU2MDkBCAAAAAUAAAABMQEAAAAKMTc3NzI3OTYxMwMAAAADMTYwAgAAAAQ0MTg2BAAAAAEwBwAAAAoxMi8zMS8yMDEzCAAAAAoxMi8zMS8yMDEzCQAAAAEw0GLRtd632wjEEP+13rfbCDJDSVEuTlNFSTpNJk0uSVFfVE9UQUxfREVCVF9DQVBJVEFMLjEwMDAuMTIvMzAvMjAxNgEAAABCZw0AAgAAAAc1Ni4xNzg1AQgAAAAFAAAAATEBAAAACjE4NDkxODIyNjIDAAAAAjcyAgAAAAQ0MTg2BAAAAAEwBwAAAAoxMi8zMC8yMDE2CAAAAAkzLzMxLzIwMTYJAAAAATDQYtG13rfbCMQQ/7Xet9sIM0NJUS5OWVNFOkNOSEkuSVFfVE9UQUxfREVCVF9DQVBJVEFMLjEwMDAuMTIvMzEvMjAxNAEAAABOYhkGAgAAAAc4NS42MTE4AQgAAAAFAAAAATEBAAAACjE4MzA0MjgwNzADAAAAAzE2MAIAAAAENDE4NgQAAAABMAcAAAAKMTIvMzEvMjAxNAgAAAAKMTIvMzEvMjAxNAkAAAABMNBi0bXet9sIxBD/td632wgwQ0lRLk5ZU0U6REUuSVFfVE9UQUxfREVCVF9FUVVJVFkuMTAwMC4xMi8zMS8yMDE5AQAAAIAPBAACAAAABzM5Ny40NjMBCAAAAAUAAAABMQEAAAALLTIxMTY3ODUwNjQDAAAAAzE2MAIAAAAENDAzNAQAAAABMAcAAAAKMTIvMzEvMjAxOQgAAAAJMTEvMy8yMDE5CQAAAAEw0GLRtd632wjEEP+13rfbCDRDSVEuU0hTRTo2MDAwMzEuSVFfVE9UQUxfREVCVF9FUVVJVFku</t>
  </si>
  <si>
    <t>MTAwMC4xMi8zMS8yMDE3AQAAAC9QWQACAAAABzQ4LjU2MDEBCAAAAAUAAAABMQEAAAAKMTk1MjYyMDM4OQMAAAACMzICAAAABDQwMzQEAAAAATAHAAAACjEyLzMxLzIwMTcIAAAACjEyLzMxLzIwMTcJAAAAATDQYtG13rfbCMQQ/7Xet9sIMUNJUS5OWVNFOlRFWC5JUV9UT1RBTF9ERUJUX0VRVUlUWS4xMDAwLjEyLzMxLzIwMTUBAAAADrMEAAIAAAAHOTMuOTgwMQEIAAAABQAAAAExAQAAAAoxODc0ODMyNjYzAwAAAAMxNjACAAAABDQwMzQEAAAAATAHAAAACjEyLzMxLzIwMTUIAAAACjEyLzMxLzIwMTUJAAAAATDQYtG13rfbCMQQ/7Xet9sIMUNJUS5OU0VJOk0mTS5JUV9UT1RBTF9ERUJUX0VRVUlUWS4xMDAwLjEyLzMxLzIwMTgBAAAAQmcNAAIAAAAIMTI0LjE0NjgBCAAAAAUAAAABMQEAAAAKMTk3MDYzODExMAMAAAACNzICAAAABDQwMzQEAAAAATAHAAAACjEyLzMxLzIwMTgIAAAACTMvMzEvMjAxOAkAAAABMNBi0bXet9sIxBD/td632wgyQ0lRLk5ZU0U6Q05ISS5JUV9UT1RBTF9ERUJUX0VRVUlUWS4xMDAwLjEyLzMwLzIwMTYBAAAATmIZBgIAAAAINTQxLjA2MTUBCAAAAAUAAAABMQEAAAAKMTg3NzYwNTAyNwMAAAADMTYwAgAAAAQ0MDM0BAAAAAEwBwAAAAoxMi8zMC8yMDE2CAAAAAoxMi8zMS8yMDE1CQAAAAEw0GLRtd632wjEEP+13rfbCDRDSVEuTllTRTpERS5JUV9ORVRfREVCVF9FQklUREEu</t>
  </si>
  <si>
    <t>MTAwMC4xMi8zMS8yMDE5Li4uVVNEAQAAAIAPBAACAAAABzYuODM4OTcBCAAAAAUAAAABMQEAAAALLTIxMTY3ODUwNjQDAAAAAzE2MAIAAAAENDE5MwQAAAABMAcAAAAKMTIvMzEvMjAxOQgAAAAJMTEvMy8yMDE5CQAAAAEw0GLRtd632wjEEP+13rfbCDVDSVEuTllTRTpDQVQuSVFfTkVUX0RFQlRfRUJJVERBLjEwMDAuMTIvMzEvMjAyMS4uLlVTRAEAAAAy9QMAAgAAAAgyLjY2NzU1NAEIAAAABQAAAAExAQAAAAstMjA2MDg4MTk0MQMAAAADMTYwAgAAAAQ0MTkzBAAAAAEwBwAAAAoxMi8zMS8yMDIxCAAAAAoxMi8zMS8yMDIxCQAAAAEw0GLRtd632wjEEP+13rfbCDRDSVEuTllTRTpERS5JUV9ORVRfREVCVF9FQklUREEuMTAwMC4xMi8zMS8yMDE1Li4uVVNEAQAAAIAPBAACAAAACDguNjIzMzY2AQgAAAAFAAAAATEBAAAACjE4Njk5NzE4MDEDAAAAAzE2MAIAAAAENDE5MwQAAAABMAcAAAAKMTIvMzEvMjAxNQgAAAAJMTEvMS8yMDE1CQAAAAEw0GLRtd632wjEEP+13rfbCDZDSVEuTllTRTpBR0NPLklRX05FVF9ERUJUX0VCSVREQS4xMDAwLjEyLzMxLzIwMjEuLi5VU0QBAAAAT9gEAAIAAAAIMC41NjgwNDgBCAAAAAUAAAABMQEAAAALLTIwNTkwMTI1NDUDAAAAAzE2MAIAAAAENDE5MwQAAAABMAcAAAAKMTIvMzEvMjAyMQgAAAAKMTIvMzEvMjAyMQkAAAABMNBi0bXet9sIxBD/td632wghQ0lRLk5ZU0U6</t>
  </si>
  <si>
    <t>Q0FULklRX1RPVEFMX0RFQlRfRUJJVERBAQAAADL1AwACAAAABzIuNDk3NzgBCAAAAAUAAAABMQEAAAALLTIwMzU5MzAwMDEDAAAAAzE2MAIAAAAENDE5MgQAAAABMAcAAAAJOS8xOC8yMDIzCAAAAAk2LzMwLzIwMjMJAAAAATDQYtG13rfbCMQQ/7Xet9sIL0NJUS5OWVNFOkRFLklRX0VCSVREQV9JTlQuMTAwMC4xMi8zMS8yMDE3Li4uVVNEAQAAAIAPBAACAAAACTE5LjY2OTU2NQEIAAAABQAAAAExAQAAAAoxOTk2OTk4NzA2AwAAAAMxNjACAAAABDQxOTAEAAAAATAHAAAACjEyLzMxLzIwMTcIAAAACjEwLzI5LzIwMTcJAAAAATDQYtG13rfbCMQQ/7Xet9sIM0NJUS5TSFNFOjYwMDAzMS5JUV9FQklUREFfSU5ULjEwMDAuMTIvMzEvMjAxNS4uLlVTRAEAAAAvUFkAAgAAAAgzLjMxMTczOQEIAAAABQAAAAExAQAAAAoxODM4NTM5MDU3AwAAAAIzMgIAAAAENDE5MAQAAAABMAcAAAAKMTIvMzEvMjAxNQgAAAAKMTIvMzEvMjAxNQkAAAABMNBi0bXet9sIxBD/td632wgwQ0lRLk5ZU0U6VEVYLklRX0VCSVREQV9JTlQuMTAwMC4xMi8zMS8yMDEzLi4uVVNEAQAAAA6zBAACAAAABzQuMzY2MjcBCAAAAAUAAAABMQEAAAAKMTc3NzI3OTYxMwMAAAADMTYwAgAAAAQ0MTkwBAAAAAEwBwAAAAoxMi8zMS8yMDEzCAAAAAoxMi8zMS8yMDEzCQAAAAEw0GLRtd632wjEEP+13rfbCDBDSVEuTlNFSTpNJk0uSVFfRUJJVERB</t>
  </si>
  <si>
    <t>X0lOVC4xMDAwLjEyLzMwLzIwMTYuLi5VU0QBAAAAQmcNAAIAAAAIMy4xMDcyODgBCAAAAAUAAAABMQEAAAAKMTg0OTE4MjI2MgMAAAACNzICAAAABDQxOTAEAAAAATAHAAAACjEyLzMwLzIwMTYIAAAACTMvMzEvMjAxNgkAAAABMNBi0bXet9sIxBD/td632wgxQ0lRLk5ZU0U6QUdDTy5JUV9FQklUREFfSU5ULjEwMDAuMTIvMzEvMjAyMi4uLlVTRAEAAABP2AQAAgAAAAkzNS42NTg2OTUBCAAAAAUAAAABMQEAAAALLTIwNTkwMTI2MDcDAAAAAzE2MAIAAAAENDE5MAQAAAABMAcAAAAKMTIvMzEvMjAyMggAAAAKMTIvMzEvMjAyMgkAAAABMNBi0bXet9sIxBD/td632wgxQ0lRLk5ZU0U6REUuSVFfVE9UQUxfREVCVF9DQVBJVEFMLjEwMDAuMTIvMzAvMjAxNgEAAACADwQAAgAAAAc4NC40ODU1AQgAAAAFAAAAATEBAAAACjE5MzYwMDQ5NzgDAAAAAzE2MAIAAAAENDE4NgQAAAABMAcAAAAKMTIvMzAvMjAxNggAAAAKMTAvMzAvMjAxNgkAAAABMNBi0bXet9sIxBD/td632wg1Q0lRLlNIU0U6NjAwMDMxLklRX1RPVEFMX0RFQlRfQ0FQSVRBTC4xMDAwLjEyLzMxLzIwMTQBAAAAL1BZAAIAAAAHNTAuMzEzOQEIAAAABQAAAAExAQAAAAoxNzg5MDA4MTM4AwAAAAIzMgIAAAAENDE4NgQAAAABMAcAAAAKMTIvMzEvMjAxNAgAAAAKMTIvMzEvMjAxNAkAAAABMNBi0bXet9sIxBD/td632wgyQ0lRLk5TRUk6TSZNLklR</t>
  </si>
  <si>
    <t>X1RPVEFMX0RFQlRfQ0FQSVRBTC4xMDAwLjEyLzMxLzIwMTUBAAAAQmcNAAIAAAAHNTQuNjYwNQEIAAAABQAAAAExAQAAAAoxNzk5Mjk2NTcwAwAAAAI3MgIAAAAENDE4NgQAAAABMAcAAAAKMTIvMzEvMjAxNQgAAAAJMy8zMS8yMDE1CQAAAAEw0GLRtd632wjEEP+13rfbCDNDSVEuTllTRTpDTkhJLklRX1RPVEFMX0RFQlRfQ0FQSVRBTC4xMDAwLjEyLzMxLzIwMTMBAAAATmIZBgIAAAAHODUuNzUwMwEIAAAABQAAAAExAQAAAAoxODIxNjg3NjIwAwAAAAMxNjACAAAABDQxODYEAAAAATAHAAAACjEyLzMxLzIwMTMIAAAACjEyLzMxLzIwMTMJAAAAATDQYtG13rfbCMQQ/7Xet9sIMENJUS5OWVNFOkRFLklRX1RPVEFMX0RFQlRfRVFVSVRZLjEwMDAuMTIvMzEvMjAxOAEAAACADwQAAgAAAAgzNzYuODc3NAEIAAAABQAAAAExAQAAAAoyMDc1MjQ3MTE5AwAAAAMxNjACAAAABDQwMzQEAAAAATAHAAAACjEyLzMxLzIwMTgIAAAACjEwLzI4LzIwMTgJAAAAATDQYtG13rfbCMQQ/7Xet9sINENJUS5TSFNFOjYwMDAzMS5JUV9UT1RBTF9ERUJUX0VRVUlUWS4xMDAwLjEyLzMwLzIwMTYBAAAAL1BZAAIAAAAIMTEwLjQ1OTQBCAAAAAUAAAABMQEAAAAKMTgzODUzOTA1NwMAAAACMzICAAAABDQwMzQEAAAAATAHAAAACjEyLzMwLzIwMTYIAAAACjEyLzMxLzIwMTUJAAAAATDQYtG13rfbCMQQ/7Xet9sIMUNJUS5OWVNF</t>
  </si>
  <si>
    <t>OlRFWC5JUV9UT1RBTF9ERUJUX0VRVUlUWS4xMDAwLjEyLzMxLzIwMTQBAAAADrMEAAIAAAAHODcuNzI0OQEIAAAABQAAAAExAQAAAAoxODI5NTgyMDQ3AwAAAAMxNjACAAAABDQwMzQEAAAAATAHAAAACjEyLzMxLzIwMTQIAAAACjEyLzMxLzIwMTQJAAAAATDQYtG13rfbCMQQ/7Xet9sIMUNJUS5OU0VJOk0mTS5JUV9UT1RBTF9ERUJUX0VRVUlUWS4xMDAwLjEyLzMxLzIwMTcBAAAAQmcNAAIAAAAIMTM1LjA5MzYBCAAAAAUAAAABMQEAAAAKMTg5NTQ2NTQzNwMAAAACNzICAAAABDQwMzQEAAAAATAHAAAACjEyLzMxLzIwMTcIAAAACTMvMzEvMjAxNwkAAAABMNBi0bXet9sIxBD/td632wgyQ0lRLk5ZU0U6Q05ISS5JUV9UT1RBTF9ERUJUX0VRVUlUWS4xMDAwLjEyLzMxLzIwMTUBAAAATmIZBgIAAAAINTQxLjA2MTUBCAAAAAUAAAABMQEAAAAKMTg3NzYwNTAyNwMAAAADMTYwAgAAAAQ0MDM0BAAAAAEwBwAAAAoxMi8zMS8yMDE1CAAAAAoxMi8zMS8yMDE1CQAAAAEw0GLRtd632wjEEP+13rfbCDRDSVEuTllTRTpERS5JUV9ORVRfREVCVF9FQklUREEuMTAwMC4xMi8zMS8yMDE4Li4uVVNEAQAAAIAPBAACAAAACDYuNjE4MDc3AQgAAAAFAAAAATEBAAAACjIwNzUyNDcxMTkDAAAAAzE2MAIAAAAENDE5MwQAAAABMAcAAAAKMTIvMzEvMjAxOAgAAAAKMTAvMjgvMjAxOAkAAAABMNBi0bXet9sIxBD/td632wg2</t>
  </si>
  <si>
    <t>Q0lRLk5ZU0U6Q05ISS5JUV9ORVRfREVCVF9FQklUREEuMTAwMC4xMi8zMS8yMDIyLi4uVVNEAQAAAE5iGQYCAAAACDUuODg3NTA3AQgAAAAFAAAAATEBAAAACy0yMDU5MDEyNTg0AwAAAAMxNjACAAAABDQxOTMEAAAAATAHAAAACjEyLzMxLzIwMjIIAAAACjEyLzMxLzIwMjIJAAAAATDQYtG13rfbCMQQ/7Xet9sINUNJUS5OWVNFOkNBVC5JUV9ORVRfREVCVF9FQklUREEuMTAwMC4xMi8zMS8yMDIwLi4uVVNEAQAAADL1AwACAAAACDMuODUxMzQ5AQgAAAAFAAAAATEBAAAACy0yMDYwODgxOTM2AwAAAAMxNjACAAAABDQxOTMEAAAAATAHAAAACjEyLzMxLzIwMjAIAAAACjEyLzMxLzIwMjAJAAAAATDQYtG13rfbCMQQ/7Xet9sINENJUS5OWVNFOkRFLklRX05FVF9ERUJUX0VCSVREQS4xMDAwLjEyLzMxLzIwMTQuLi5VU0QBAAAAgA8EAAIAAAAINS4zNTIxMzcBCAAAAAUAAAABMQEAAAAKMTgyMjk2ODY4NQMAAAADMTYwAgAAAAQ0MTkzBAAAAAEwBwAAAAoxMi8zMS8yMDE0CAAAAAoxMC8zMS8yMDE0CQAAAAEw0GLRtd632wjEEP+13rfbCDVDSVEuVFNFOjYzMjYuSVFfTkVUX0RFQlRfRUJJVERBLjEwMDAuMTIvMzEvMjAyMi4uLlVTRAEAAAAZVwQAAgAAAAg0LjQxMzEzNAEIAAAABQAAAAExAQAAAAstMjA1NTYxNjQzNAMAAAACNzkCAAAABDQxOTMEAAAAATAHAAAACjEyLzMxLzIwMjIIAAAACjEyLzMxLzIw</t>
  </si>
  <si>
    <t>MjIJAAAAATDQYtG13rfbCMQQ/7Xet9sINkNJUS5OWVNFOkFHQ08uSVFfTkVUX0RFQlRfRUJJVERBLjEwMDAuMTIvMzEvMjAyMC4uLlVTRAEAAABP2AQAAgAAAAgwLjY5OTg2NgEIAAAABQAAAAExAQAAAAstMjA1OTAxMjU3NwMAAAADMTYwAgAAAAQ0MTkzBAAAAAEwBwAAAAoxMi8zMS8yMDIwCAAAAAoxMi8zMS8yMDIwCQAAAAEw0GLRtd632wjEEP+13rfbCCJDSVEuTllTRTpBR0NPLklRX1RPVEFMX0RFQlRfRUJJVERBAQAAAE/YBAACAAAACDEuMjA4NjAxAQgAAAAFAAAAATEBAAAACy0yMDM0ODI5NzExAwAAAAMxNjACAAAABDQxOTIEAAAAATAHAAAACTkvMTgvMjAyMwgAAAAJNi8zMC8yMDIzCQAAAAEw0GLRtd632wjEEP+13rfbCC9DSVEuTllTRTpERS5JUV9FQklUREFfSU5ULjEwMDAuMTIvMzAvMjAxNi4uLlVTRAEAAACADwQAAgAAAAkxNi43NzgxNjkBCAAAAAUAAAABMQEAAAAKMTkzNjAwNDk3OAMAAAADMTYwAgAAAAQ0MTkwBAAAAAEwBwAAAAoxMi8zMC8yMDE2CAAAAAoxMC8zMC8yMDE2CQAAAAEw0GLRtd632wjEEP+13rfbCDNDSVEuU0hTRTo2MDAwMzEuSVFfRUJJVERBX0lOVC4xMDAwLjEyLzMxLzIwMTQuLi5VU0QBAAAAL1BZAAIAAAAIMy4xNjQ0OTkBCAAAAAUAAAABMQEAAAAKMTc4OTAwODEzOAMAAAACMzICAAAABDQxOTAEAAAAATAHAAAACjEyLzMxLzIwMTQIAAAACjEyLzMxLzIwMTQJ</t>
  </si>
  <si>
    <t>AAAAATDQYtG13rfbCMQQ/7Xet9sIMENJUS5OU0VJOk0mTS5JUV9FQklUREFfSU5ULjEwMDAuMTIvMzEvMjAxNS4uLlVTRAEAAABCZw0AAgAAAAgyLjkyMTkxMgEIAAAABQAAAAExAQAAAAoxNzk5Mjk2NTcwAwAAAAI3MgIAAAAENDE5MAQAAAABMAcAAAAKMTIvMzEvMjAxNQgAAAAJMy8zMS8yMDE1CQAAAAEw0GLRtd632wjEEP+13rfbCDFDSVEuTllTRTpBR0NPLklRX0VCSVREQV9JTlQuMTAwMC4xMi8zMS8yMDIxLi4uVVNEAQAAAE/YBAACAAAACTU0LjI0MDE1NwEIAAAABQAAAAExAQAAAAstMjA1OTAxMjU0NQMAAAADMTYwAgAAAAQ0MTkwBAAAAAEwBwAAAAoxMi8zMS8yMDIxCAAAAAoxMi8zMS8yMDIxCQAAAAEw0GLRtd632wjEEP+13rfbCDFDSVEuTllTRTpERS5JUV9UT1RBTF9ERUJUX0NBUElUQUwuMTAwMC4xMi8zMS8yMDE1AQAAAIAPBAACAAAABzg0LjUyNDYBCAAAAAUAAAABMQEAAAAKMTg2OTk3MTgwMQMAAAADMTYwAgAAAAQ0MTg2BAAAAAEwBwAAAAoxMi8zMS8yMDE1CAAAAAkxMS8xLzIwMTUJAAAAATDQYtG13rfbCMQQ/7Xet9sINUNJUS5TSFNFOjYwMDAzMS5JUV9UT1RBTF9ERUJUX0NBUElUQUwuMTAwMC4xMi8zMS8yMDEzAQAAAC9QWQACAAAABzQ4LjQzMjEBCAAAAAUAAAABMQEAAAAKMTcyOTU0NTY3NgMAAAACMzICAAAABDQxODYEAAAAATAHAAAACjEyLzMxLzIwMTMIAAAACjEyLzMx</t>
  </si>
  <si>
    <t>LzIwMTMJAAAAATDQYtG13rfbCMQQ/7Xet9sIMkNJUS5OWVNFOkNBVC5JUV9UT1RBTF9ERUJUX0NBUElUQUwuMTAwMC4xMi8zMS8yMDIyAQAAADL1AwACAAAABzcwLjI3NjYBCAAAAAUAAAABMQEAAAALLTIwNjA4ODE5MzcDAAAAAzE2MAIAAAAENDE4NgQAAAABMAcAAAAKMTIvMzEvMjAyMggAAAAKMTIvMzEvMjAyMgkAAAABMNBi0bXet9sIxBD/td632wgyQ0lRLk5TRUk6TSZNLklRX1RPVEFMX0RFQlRfQ0FQSVRBTC4xMDAwLjEyLzMxLzIwMTQBAAAAQmcNAAIAAAAHNTQuOTQwNwEIAAAABQAAAAExAQAAAAoxNzQ1NzI4NzYzAwAAAAI3MgIAAAAENDE4NgQAAAABMAcAAAAKMTIvMzEvMjAxNAgAAAAJMy8zMS8yMDE0CQAAAAEw0GLRtd632wjEEP+13rfbCDBDSVEuTllTRTpERS5JUV9UT1RBTF9ERUJUX0VRVUlUWS4xMDAwLjEyLzMxLzIwMTcBAAAAgA8EAAIAAAAINDE5LjYyODEBCAAAAAUAAAABMQEAAAAKMTk5Njk5ODcwNgMAAAADMTYwAgAAAAQ0MDM0BAAAAAEwBwAAAAoxMi8zMS8yMDE3CAAAAAoxMC8yOS8yMDE3CQAAAAEw0GLRtd632wjEEP+13rfbCDRDSVEuU0hTRTo2MDAwMzEuSVFfVE9UQUxfREVCVF9FUVVJVFkuMTAwMC4xMi8zMS8yMDE1AQAAAC9QWQACAAAACDExMC40NTk0AQgAAAAFAAAAATEBAAAACjE4Mzg1MzkwNTcDAAAAAjMyAgAAAAQ0MDM0BAAAAAEwBwAAAAoxMi8zMS8yMDE1CAAA</t>
  </si>
  <si>
    <t>AAoxMi8zMS8yMDE1CQAAAAEw0GLRtd632wjEEP+13rfbCDFDSVEuTllTRTpURVguSVFfVE9UQUxfREVCVF9FUVVJVFkuMTAwMC4xMi8zMS8yMDEzAQAAAA6zBAACAAAABzg3LjEyOTEBCAAAAAUAAAABMQEAAAAKMTc3NzI3OTYxMwMAAAADMTYwAgAAAAQ0MDM0BAAAAAEwBwAAAAoxMi8zMS8yMDEzCAAAAAoxMi8zMS8yMDEzCQAAAAEw0GLRtd632wjEEP+13rfbCDFDSVEuTlNFSTpNJk0uSVFfVE9UQUxfREVCVF9FUVVJVFkuMTAwMC4xMi8zMC8yMDE2AQAAAEJnDQACAAAACDEyOC4xOTg5AQgAAAAFAAAAATEBAAAACjE4NDkxODIyNjIDAAAAAjcyAgAAAAQ0MDM0BAAAAAEwBwAAAAoxMi8zMC8yMDE2CAAAAAkzLzMxLzIwMTYJAAAAATDQYtG13rfbCMQQ/7Xet9sIMkNJUS5OWVNFOkNOSEkuSVFfVE9UQUxfREVCVF9FUVVJVFkuMTAwMC4xMi8zMS8yMDE0AQAAAE5iGQYCAAAABzU5NS4wMTcBCAAAAAUAAAABMQEAAAAKMTgzMDQyODA3MAMAAAADMTYwAgAAAAQ0MDM0BAAAAAEwBwAAAAoxMi8zMS8yMDE0CAAAAAoxMi8zMS8yMDE0CQAAAAEw0GLRtd632wjEEP+13rfbCDZDSVEuTllTRTpDTkhJLklRX05FVF9ERUJUX0VCSVREQS4xMDAwLjEyLzMxLzIwMjEuLi5VU0QBAAAATmIZBgIAAAAINi43MzAzMTgBCAAAAAUAAAABMQEAAAALLTIwNTkwMTI2MDMDAAAAAzE2MAIAAAAENDE5MwQAAAABMAcAAAAKMTIv</t>
  </si>
  <si>
    <t>MzEvMjAyMQgAAAAKMTIvMzEvMjAyMQkAAAABMNBi0bXet9sIxBD/td632wg1Q0lRLk5ZU0U6Q0FULklRX05FVF9ERUJUX0VCSVREQS4xMDAwLjEyLzMxLzIwMTkuLi5VU0QBAAAAMvUDAAIAAAAHMi44MjUxMgEIAAAABQAAAAExAQAAAAstMjExMjE1NzE1OQMAAAADMTYwAgAAAAQ0MTkzBAAAAAEwBwAAAAoxMi8zMS8yMDE5CAAAAAoxMi8zMS8yMDE5CQAAAAEw0GLRtd632wjEEP+13rfbCDRDSVEuTllTRTpERS5JUV9ORVRfREVCVF9FQklUREEuMTAwMC4xMi8zMS8yMDEzLi4uVVNEAQAAAIAPBAACAAAACDQuNDEzMTkyAQgAAAAFAAAAATEBAAAACjE3NzQyNzQxNzcDAAAAAzE2MAIAAAAENDE5MwQAAAABMAcAAAAKMTIvMzEvMjAxMwgAAAAKMTAvMzEvMjAxMwkAAAABMNBi0bXet9sIxBD/td632wg1Q0lRLlRTRTo2MzI2LklRX05FVF9ERUJUX0VCSVREQS4xMDAwLjEyLzMxLzIwMjEuLi5VU0QBAAAAGVcEAAIAAAAIMi43NTI1ODIBCAAAAAUAAAABMQEAAAALLTIxMDc3MTQwMTQDAAAAAjc5AgAAAAQ0MTkzBAAAAAEwBwAAAAoxMi8zMS8yMDIxCAAAAAoxMi8zMS8yMDIxCQAAAAEw0GLRtd632wjEEP+13rfbCDZDSVEuTllTRTpBR0NPLklRX05FVF9ERUJUX0VCSVREQS4xMDAwLjEyLzMxLzIwMTkuLi5VU0QBAAAAT9gEAAIAAAAIMS4zMDM0NTcBCAAAAAUAAAABMQEAAAALLTIxMTA0NTcyODgDAAAAAzE2</t>
  </si>
  <si>
    <t>MAIAAAAENDE5MwQAAAABMAcAAAAKMTIvMzEvMjAxOQgAAAAKMTIvMzEvMjAxOQkAAAABMNBi0bXet9sIxBD/td632wg0Q0lRLk5ZU0U6REUuSVFfTkVUX0RFQlRfRUJJVERBLjEwMDAuMTIvMzEvMjAyMi4uLlVTRAEAAACADwQAAgAAAAg0LjQ1MjUyMQEIAAAABQAAAAExAQAAAAstMjA2NTM4ODQ2OAMAAAADMTYwAgAAAAQ0MTkzBAAAAAEwBwAAAAoxMi8zMS8yMDIyCAAAAAoxMC8zMC8yMDIyCQAAAAEw0GLRtd632wjEEP+13rfbCDZDSVEuTllTRTpDTkhJLklRX05FVF9ERUJUX0VCSVREQS4xMDAwLjEyLzMwLzIwMTYuLi5VU0QBAAAATmIZBgIAAAAJMTAuMTUyNDA3AQgAAAAFAAAAATEBAAAACjE4Nzc2MDUwMjcDAAAAAzE2MAIAAAAENDE5MwQAAAABMAcAAAAKMTIvMzAvMjAxNggAAAAKMTIvMzEvMjAxNQkAAAABMNBi0bXet9sIxBD/td632wg1Q0lRLk5TRUk6TSZNLklRX05FVF9ERUJUX0VCSVREQS4xMDAwLjEyLzMxLzIwMTkuLi5VU0QBAAAAQmcNAAIAAAAIMy43NDQzNDkBCAAAAAUAAAABMQEAAAAKMjA0NDk0MTQxMAMAAAACNzICAAAABDQxOTMEAAAAATAHAAAACjEyLzMxLzIwMTkIAAAACTMvMzEvMjAxOQkAAAABMNBi0bXet9sIxBD/td632wg2Q0lRLk5ZU0U6QUdDTy5JUV9ORVRfREVCVF9FQklUREEuMTAwMC4xMi8zMS8yMDE4Li4uVVNEAQAAAE/YBAACAAAACDEuNDkyNjMzAQgAAAAFAAAA</t>
  </si>
  <si>
    <t>ATEBAAAACjIwODI0OTc3MTMDAAAAAzE2MAIAAAAENDE5MwQAAAABMAcAAAAKMTIvMzEvMjAxOAgAAAAKMTIvMzEvMjAxOAkAAAABMNBi0bXet9sIxBD/td632wghQ0lRLlRTRTo2NTAxLklRX1RPVEFMX0RFQlRfRUJJVERBAQAAAJstAgACAAAACDEuNjEyOTA3AQgAAAAFAAAAATEBAAAACy0yMDM0NjQ1MjA4AwAAAAI3OQIAAAAENDE5MgQAAAABMAcAAAAJOS8xOC8yMDIzCAAAAAk2LzMwLzIwMjMJAAAAATDQYtG13rfbCMQQ/7Xet9sIMENJUS5UU0U6NjUwMS5JUV9FQklUREFfSU5ULjEwMDAuMTIvMzEvMjAyMC4uLlVTRAEAAACbLQIAAgAAAAk0My4xMjkzNzcBCAAAAAUAAAABMQEAAAALLTIxMjA1NTc0ODYDAAAAAjc5AgAAAAQ0MTkwBAAAAAEwBwAAAAoxMi8zMS8yMDIwCAAAAAkzLzMxLzIwMjAJAAAAATDQYtG13rfbCMQQ/7Xet9sIMUNJUS5OWVNFOkNOSEkuSVFfRUJJVERBX0lOVC4xMDAwLjEyLzMxLzIwMTQuLi5VU0QBAAAATmIZBgIAAAAINC45NzIyNjcBCAAAAAUAAAABMQEAAAAKMTgzMDQyODA3MAMAAAADMTYwAgAAAAQ0MTkwBAAAAAEwBwAAAAoxMi8zMS8yMDE0CAAAAAoxMi8zMS8yMDE0CQAAAAEw0GLRtd632wjEEP+13rfbCDBDSVEuTlNFSTpNJk0uSVFfRUJJVERBX0lOVC4xMDAwLjEyLzMxLzIwMjAuLi5VU0QBAAAAQmcNAAIAAAAIMi4zOTMyODEBCAAAAAUAAAABMQEAAAALLTIxNDM4</t>
  </si>
  <si>
    <t>MjMxNzUDAAAAAjcyAgAAAAQ0MTkwBAAAAAEwBwAAAAoxMi8zMS8yMDIwCAAAAAkzLzMxLzIwMjAJAAAAATDQYtG13rfbCMQQ/7Xet9sIMUNJUS5OWVNFOkFHQ08uSVFfRUJJVERBX0lOVC4xMDAwLjEyLzMxLzIwMTguLi5VU0QBAAAAT9gEAAIAAAAJMjEuMDUzNDc1AQgAAAAFAAAAATEBAAAACjIwODI0OTc3MTMDAAAAAzE2MAIAAAAENDE5MAQAAAABMAcAAAAKMTIvMzEvMjAxOAgAAAAKMTIvMzEvMjAxOAkAAAABMNBi0bXet9sIxBD/td632wgyQ0lRLlRTRTo2NTAxLklRX1RPVEFMX0RFQlRfQ0FQSVRBTC4xMDAwLjEyLzMxLzIwMTkBAAAAmy0CAAIAAAAGMTguNTQxAQgAAAAFAAAAATEBAAAACjIwNjI5MzgwMjMDAAAAAjc5AgAAAAQ0MTg2BAAAAAEwBwAAAAoxMi8zMS8yMDE5CAAAAAkzLzMxLzIwMTkJAAAAATDQYtG13rfbCMQQ/7Xet9sIMkNJUS5OU0VJOk0mTS5JUV9UT1RBTF9ERUJUX0NBUElUQUwuMTAwMC4xMi8zMS8yMDE5AQAAAEJnDQACAAAABzU5LjQ0MDMBCAAAAAUAAAABMQEAAAAKMjA0NDk0MTQxMAMAAAACNzICAAAABDQxODYEAAAAATAHAAAACjEyLzMxLzIwMTkIAAAACTMvMzEvMjAxOQkAAAABMNBi0bXet9sIxBD/td632wgzQ0lRLk5ZU0U6QUdDTy5JUV9UT1RBTF9ERUJUX0NBUElUQUwuMTAwMC4xMi8zMS8yMDIwAQAAAE/YBAACAAAABzM3LjM0MTYBCAAAAAUAAAABMQEAAAALLTIw</t>
  </si>
  <si>
    <t>NTkwMTI1NzcDAAAAAzE2MAIAAAAENDE4NgQAAAABMAcAAAAKMTIvMzEvMjAyMAgAAAAKMTIvMzEvMjAyMAkAAAABMNBi0bXet9sIxBD/td632wgxQ0lRLlRTRTo2NTAxLklRX1RPVEFMX0RFQlRfRVFVSVRZLjEwMDAuMTIvMzEvMjAyMQEAAACbLQIAAgAAAAc1My43NzM2AQgAAAAFAAAAATEBAAAACy0yMDg4ODIxNjQ5AwAAAAI3OQIAAAAENDAzNAQAAAABMAcAAAAKMTIvMzEvMjAyMQgAAAAJMy8zMS8yMDIxCQAAAAEw0GLRtd632wjEEP+13rfbCDFDSVEuTlNFSTpNJk0uSVFfVE9UQUxfREVCVF9FUVVJVFkuMTAwMC4xMi8zMS8yMDIxAQAAAEJnDQACAAAACDE1OS42OTM2AQgAAAAFAAAAATEBAAAACy0yMDg5NzQ0MDIwAwAAAAI3MgIAAAAENDAzNAQAAAABMAcAAAAKMTIvMzEvMjAyMQgAAAAJMy8zMS8yMDIxCQAAAAEw0GLRtd632wjEEP+13rfbCDJDSVEuTllTRTpBR0NPLklRX1RPVEFMX0RFQlRfRVFVSVRZLjEwMDAuMTIvMzEvMjAyMgEAAABP2AQAAgAAAAY0Mi4wOTgBCAAAAAUAAAABMQEAAAALLTIwNTkwMTI2MDcDAAAAAzE2MAIAAAAENDAzNAQAAAABMAcAAAAKMTIvMzEvMjAyMggAAAAKMTIvMzEvMjAyMgkAAAABMNBi0bXet9sIxBD/td632wg2Q0lRLk5ZU0U6Q05ISS5JUV9ORVRfREVCVF9FQklUREEuMTAwMC4xMi8zMS8yMDE1Li4uVVNEAQAAAE5iGQYCAAAACTEwLjE1MjQwNwEIAAAABQAA</t>
  </si>
  <si>
    <t>AAExAQAAAAoxODc3NjA1MDI3AwAAAAMxNjACAAAABDQxOTMEAAAAATAHAAAACjEyLzMxLzIwMTUIAAAACjEyLzMxLzIwMTUJAAAAATDQYtG13rfbCMQQ/7Xet9sINUNJUS5OU0VJOk0mTS5JUV9ORVRfREVCVF9FQklUREEuMTAwMC4xMi8zMS8yMDE4Li4uVVNEAQAAAEJnDQACAAAACDMuMzk1NzgyAQgAAAAFAAAAATEBAAAACjE5NzA2MzgxMTADAAAAAjcyAgAAAAQ0MTkzBAAAAAEwBwAAAAoxMi8zMS8yMDE4CAAAAAkzLzMxLzIwMTgJAAAAATDQYtG13rfbCMQQ/7Xet9sINkNJUS5OWVNFOkFHQ08uSVFfTkVUX0RFQlRfRUJJVERBLjEwMDAuMTIvMzEvMjAxNy4uLlVTRAEAAABP2AQAAgAAAAgxLjk0NTU0OAEIAAAABQAAAAExAQAAAAoyMDE4MzYwODIzAwAAAAMxNjACAAAABDQxOTMEAAAAATAHAAAACjEyLzMxLzIwMTcIAAAACjEyLzMxLzIwMTcJAAAAATDQYtG13rfbCMQQ/7Xet9sIMENJUS5UU0U6NjUwMS5JUV9FQklUREFfSU5ULjEwMDAuMTIvMzEvMjAxOS4uLlVTRAEAAACbLQIAAgAAAAk1MS40ODc5NjYBCAAAAAUAAAABMQEAAAAKMjA2MjkzODAyMwMAAAACNzkCAAAABDQxOTAEAAAAATAHAAAACjEyLzMxLzIwMTkIAAAACTMvMzEvMjAxOQkAAAABMNBi0bXet9sIxBD/td632wgwQ0lRLk5TRUk6TSZNLklRX0VCSVREQV9JTlQuMTAwMC4xMi8zMS8yMDE5Li4uVVNEAQAAAEJnDQACAAAACDMuMDMz</t>
  </si>
  <si>
    <t>ODM5AQgAAAAFAAAAATEBAAAACjIwNDQ5NDE0MTADAAAAAjcyAgAAAAQ0MTkwBAAAAAEwBwAAAAoxMi8zMS8yMDE5CAAAAAkzLzMxLzIwMTkJAAAAATDQYtG13rfbCMQQ/7Xet9sIMUNJUS5OWVNFOkFHQ08uSVFfRUJJVERBX0lOVC4xMDAwLjEyLzMxLzIwMTcuLi5VU0QBAAAAT9gEAAIAAAAJMTIuNzM3NjE0AQgAAAAFAAAAATEBAAAACjIwMTgzNjA4MjMDAAAAAzE2MAIAAAAENDE5MAQAAAABMAcAAAAKMTIvMzEvMjAxNwgAAAAKMTIvMzEvMjAxNwkAAAABMNBi0bXet9sIxBD/td632wgyQ0lRLlRTRTo2NTAxLklRX1RPVEFMX0RFQlRfQ0FQSVRBTC4xMDAwLjEyLzMxLzIwMTgBAAAAmy0CAAIAAAAHMTguODgzNQEIAAAABQAAAAExAQAAAAoxOTY5OTAzMjkxAwAAAAI3OQIAAAAENDE4NgQAAAABMAcAAAAKMTIvMzEvMjAxOAgAAAAJMy8zMS8yMDE4CQAAAAEw0GLRtd632wjEEP+13rfbCDJDSVEuTlNFSTpNJk0uSVFfVE9UQUxfREVCVF9DQVBJVEFMLjEwMDAuMTIvMzEvMjAxOAEAAABCZw0AAgAAAAc1NS4zODYzAQgAAAAFAAAAATEBAAAACjE5NzA2MzgxMTADAAAAAjcyAgAAAAQ0MTg2BAAAAAEwBwAAAAoxMi8zMS8yMDE4CAAAAAkzLzMxLzIwMTgJAAAAATDQYtG13rfbCMQQ/7Xet9sIM0NJUS5OWVNFOkFHQ08uSVFfVE9UQUxfREVCVF9DQVBJVEFMLjEwMDAuMTIvMzEvMjAxOQEAAABP2AQAAgAAAAcz</t>
  </si>
  <si>
    <t>NC44MTQ3AQgAAAAFAAAAATEBAAAACy0yMTEwNDU3Mjg4AwAAAAMxNjACAAAABDQxODYEAAAAATAHAAAACjEyLzMxLzIwMTkIAAAACjEyLzMxLzIwMTkJAAAAATDQYtG13rfbCMQQ/7Xet9sIMUNJUS5UU0U6NjUwMS5JUV9UT1RBTF9ERUJUX0VRVUlUWS4xMDAwLjEyLzMxLzIwMjABAAAAmy0CAAIAAAAGMzQuODA1AQgAAAAFAAAAATEBAAAACy0yMTIwNTU3NDg2AwAAAAI3OQIAAAAENDAzNAQAAAABMAcAAAAKMTIvMzEvMjAyMAgAAAAJMy8zMS8yMDIwCQAAAAEw0GLRtd632wjEEP+13rfbCDFDSVEuTlNFSTpNJk0uSVFfVE9UQUxfREVCVF9FUVVJVFkuMTAwMC4xMi8zMS8yMDIwAQAAAEJnDQACAAAACDE3My4yMzc5AQgAAAAFAAAAATEBAAAACy0yMTQzODIzMTc1AwAAAAI3MgIAAAAENDAzNAQAAAABMAcAAAAKMTIvMzEvMjAyMAgAAAAJMy8zMS8yMDIwCQAAAAEw0GLRtd632wjEEP+13rfbCDJDSVEuTllTRTpBR0NPLklRX1RPVEFMX0RFQlRfRVFVSVRZLjEwMDAuMTIvMzEvMjAyMQEAAABP2AQAAgAAAAc0OC41NDIzAQgAAAAFAAAAATEBAAAACy0yMDU5MDEyNTQ1AwAAAAMxNjACAAAABDQwMzQEAAAAATAHAAAACjEyLzMxLzIwMjEIAAAACjEyLzMxLzIwMjEJAAAAATDQYtG13rfbCMQQ/7Xet9sINkNJUS5OWVNFOkNOSEkuSVFfTkVUX0RFQlRfRUJJVERBLjEwMDAuMTIvMzEvMjAxNC4uLlVTRAEAAABO</t>
  </si>
  <si>
    <t>YhkGAgAAAAg4LjM0OTA4MQEIAAAABQAAAAExAQAAAAoxODMwNDI4MDcwAwAAAAMxNjACAAAABDQxOTMEAAAAATAHAAAACjEyLzMxLzIwMTQIAAAACjEyLzMxLzIwMTQJAAAAATDQYtG13rfbCMQQ/7Xet9sINUNJUS5OU0VJOk0mTS5JUV9ORVRfREVCVF9FQklUREEuMTAwMC4xMi8zMS8yMDE3Li4uVVNEAQAAAEJnDQACAAAACDMuNjAwMjI3AQgAAAAFAAAAATEBAAAACjE4OTU0NjU0MzcDAAAAAjcyAgAAAAQ0MTkzBAAAAAEwBwAAAAoxMi8zMS8yMDE3CAAAAAkzLzMxLzIwMTcJAAAAATDQYtG13rfbCMQQ/7Xet9sINkNJUS5OWVNFOkFHQ08uSVFfTkVUX0RFQlRfRUJJVERBLjEwMDAuMTIvMzAvMjAxNi4uLlVTRAEAAABP2AQAAgAAAAgxLjI1OTY3MwEIAAAABQAAAAExAQAAAAoxODc2NzM0NTQwAwAAAAMxNjACAAAABDQxOTMEAAAAATAHAAAACjEyLzMwLzIwMTYIAAAACjEyLzMxLzIwMTUJAAAAATDQYtG13rfbCMQQ/7Xet9sIMENJUS5UU0U6NjUwMS5JUV9FQklUREFfSU5ULjEwMDAuMTIvMzEvMjAxOC4uLlVTRAEAAACbLQIAAgAAAAk0OS4xNjE1NDYBCAAAAAUAAAABMQEAAAAKMTk2OTkwMzI5MQMAAAACNzkCAAAABDQxOTAEAAAAATAHAAAACjEyLzMxLzIwMTgIAAAACTMvMzEvMjAxOAkAAAABMNBi0bXet9sIxBD/td632wgwQ0lRLk5TRUk6TSZNLklRX0VCSVREQV9JTlQuMTAwMC4xMi8zMS8yMDE0</t>
  </si>
  <si>
    <t>Li4uVVNEAQAAAEJnDQACAAAACDMuNjEzOTk2AQgAAAAFAAAAATEBAAAACjE3NDU3Mjg3NjMDAAAAAjcyAgAAAAQ0MTkwBAAAAAEwBwAAAAoxMi8zMS8yMDE0CAAAAAkzLzMxLzIwMTQJAAAAATDQYtG13rfbCMQQ/7Xet9sIMUNJUS5OWVNFOkFHQ08uSVFfRUJJVERBX0lOVC4xMDAwLjEyLzMwLzIwMTYuLi5VU0QBAAAAT9gEAAIAAAAJMTAuMDM5MDAxAQgAAAAFAAAAATEBAAAACjE4NzY3MzQ1NDADAAAAAzE2MAIAAAAENDE5MAQAAAABMAcAAAAKMTIvMzAvMjAxNggAAAAKMTIvMzEvMjAxNQkAAAABMNBi0bXet9sIxBD/td632wgyQ0lRLlRTRTo2NTAxLklRX1RPVEFMX0RFQlRfQ0FQSVRBTC4xMDAwLjEyLzMxLzIwMTcBAAAAmy0CAAIAAAAHMjIuMzExMgEIAAAABQAAAAExAQAAAAoxOTYzMzE1OTAwAwAAAAI3OQIAAAAENDE4NgQAAAABMAcAAAAKMTIvMzEvMjAxNwgAAAAJMy8zMS8yMDE3CQAAAAEw0GLRtd632wjEEP+13rfbCDJDSVEuTllTRTpURVguSVFfVE9UQUxfREVCVF9DQVBJVEFMLjEwMDAuMTIvMzEvMjAyMgEAAAAOswQAAgAAAAc0Mi4yNjIxAQgAAAAFAAAAATEBAAAACy0yMDYxNjMxNjM5AwAAAAMxNjACAAAABDQxODYEAAAAATAHAAAACjEyLzMxLzIwMjIIAAAACjEyLzMxLzIwMjIJAAAAATDQYtG13rfbCMQQ/7Xet9sIMkNJUS5OU0VJOk0mTS5JUV9UT1RBTF9ERUJUX0NBUElUQUwuMTAw</t>
  </si>
  <si>
    <t>MC4xMi8zMS8yMDEzAQAAAEJnDQACAAAABzUzLjI4ODMBCAAAAAUAAAABMQEAAAAKMTY5MDEwMjI3NQMAAAACNzICAAAABDQxODYEAAAAATAHAAAACjEyLzMxLzIwMTMIAAAACTMvMzEvMjAxMwkAAAABMNBi0bXet9sIxBD/td632wgzQ0lRLk5ZU0U6QUdDTy5JUV9UT1RBTF9ERUJUX0NBUElUQUwuMTAwMC4xMi8zMS8yMDE4AQAAAE/YBAACAAAABzMzLjQwMjMBCAAAAAUAAAABMQEAAAAKMjA4MjQ5NzcxMwMAAAADMTYwAgAAAAQ0MTg2BAAAAAEwBwAAAAoxMi8zMS8yMDE4CAAAAAoxMi8zMS8yMDE4CQAAAAEw0GLRtd632wjEEP+13rfbCDFDSVEuVFNFOjY1MDEuSVFfVE9UQUxfREVCVF9FUVVJVFkuMTAwMC4xMi8zMS8yMDE5AQAAAJstAgACAAAABzIyLjc2MTEBCAAAAAUAAAABMQEAAAAKMjA2MjkzODAyMwMAAAACNzkCAAAABDQwMzQEAAAAATAHAAAACjEyLzMxLzIwMTkIAAAACTMvMzEvMjAxOQkAAAABMNBi0bXet9sIxBD/td632wgyQ0lRLk5ZU0U6Q05ISS5JUV9UT1RBTF9ERUJUX0VRVUlUWS4xMDAwLjEyLzMxLzIwMTMBAAAATmIZBgIAAAAINjAxLjc3MTYBCAAAAAUAAAABMQEAAAAKMTgyMTY4NzYyMAMAAAADMTYwAgAAAAQ0MDM0BAAAAAEwBwAAAAoxMi8zMS8yMDEzCAAAAAoxMi8zMS8yMDEzCQAAAAEw0GLRtd632wjEEP+13rfbCDFDSVEuTlNFSTpNJk0uSVFfVE9UQUxfREVCVF9FUVVJVFku</t>
  </si>
  <si>
    <t>MTAwMC4xMi8zMS8yMDE1AQAAAEJnDQACAAAACDEyMC41NTgyAQgAAAAFAAAAATEBAAAACjE3OTkyOTY1NzADAAAAAjcyAgAAAAQ0MDM0BAAAAAEwBwAAAAoxMi8zMS8yMDE1CAAAAAkzLzMxLzIwMTUJAAAAATDQYtG13rfbCMQQ/7Xet9sIMkNJUS5OWVNFOkFHQ08uSVFfVE9UQUxfREVCVF9FUVVJVFkuMTAwMC4xMi8zMS8yMDIwAQAAAE/YBAACAAAABzU5LjU5NTcBCAAAAAUAAAABMQEAAAALLTIwNTkwMTI1NzcDAAAAAzE2MAIAAAAENDAzNAQAAAABMAcAAAAKMTIvMzEvMjAyMAgAAAAKMTIvMzEvMjAyMAkAAAABMNBi0bXet9sIxBD/td632wg2Q0lRLk5ZU0U6Q05ISS5JUV9ORVRfREVCVF9FQklUREEuMTAwMC4xMi8zMS8yMDEzLi4uVVNEAQAAAE5iGQYCAAAACDguMjY4NjUxAQgAAAAFAAAAATEBAAAACjE4MjE2ODc2MjADAAAAAzE2MAIAAAAENDE5MwQAAAABMAcAAAAKMTIvMzEvMjAxMwgAAAAKMTIvMzEvMjAxMwkAAAABMNBi0bXet9sIxBD/td632wg1Q0lRLk5TRUk6TSZNLklRX05FVF9ERUJUX0VCSVREQS4xMDAwLjEyLzMwLzIwMTYuLi5VU0QBAAAAQmcNAAIAAAAIMy4yOTQ3ODIBCAAAAAUAAAABMQEAAAAKMTg0OTE4MjI2MgMAAAACNzICAAAABDQxOTMEAAAAATAHAAAACjEyLzMwLzIwMTYIAAAACTMvMzEvMjAxNgkAAAABMNBi0bXet9sIxBD/td632wg2Q0lRLk5ZU0U6QUdDTy5JUV9ORVRf</t>
  </si>
  <si>
    <t>REVCVF9FQklUREEuMTAwMC4xMi8zMS8yMDE1Li4uVVNEAQAAAE/YBAACAAAACDEuMjU5NjczAQgAAAAFAAAAATEBAAAACjE4NzY3MzQ1NDADAAAAAzE2MAIAAAAENDE5MwQAAAABMAcAAAAKMTIvMzEvMjAxNQgAAAAKMTIvMzEvMjAxNQkAAAABMNBi0bXet9sIxBD/td632wghQ0lRLlRTRTo2MzI2LklRX1RPVEFMX0RFQlRfRUJJVERBAQAAABlXBAACAAAACDUuMjE0MTE4AQgAAAAFAAAAATEBAAAACy0yMDM0MjQ5MjczAwAAAAI3OQIAAAAENDE5MgQAAAABMAcAAAAJOS8xOC8yMDIzCAAAAAk2LzMwLzIwMjMJAAAAATDQYtG13rfbCMQQ/7Xet9sIMENJUS5UU0U6NjUwMS5JUV9FQklUREFfSU5ULjEwMDAuMTIvMzEvMjAxNy4uLlVTRAEAAACbLQIAAgAAAAk0OC42NDE1NzkBCAAAAAUAAAABMQEAAAAKMTk2MzMxNTkwMAMAAAACNzkCAAAABDQxOTAEAAAAATAHAAAACjEyLzMxLzIwMTcIAAAACTMvMzEvMjAxNwkAAAABMNBi0bXet9sIxBD/td632wgwQ0lRLk5ZU0U6VEVYLklRX0VCSVREQV9JTlQuMTAwMC4xMi8zMS8yMDIyLi4uVVNEAQAAAA6zBAACAAAACTEwLjM1ODQ1MgEIAAAABQAAAAExAQAAAAstMjA2MTYzMTYzOQMAAAADMTYwAgAAAAQ0MTkwBAAAAAEwBwAAAAoxMi8zMS8yMDIyCAAAAAoxMi8zMS8yMDIyCQAAAAEw0GLRtd632wjEEP+13rfbCDBDSVEuTlNFSTpNJk0uSVFfRUJJVERBX0lOVC4x</t>
  </si>
  <si>
    <t>MDAwLjEyLzMxLzIwMTMuLi5VU0QBAAAAQmcNAAIAAAAINC4xMzc2NDMBCAAAAAUAAAABMQEAAAAKMTY5MDEwMjI3NQMAAAACNzICAAAABDQxOTAEAAAAATAHAAAACjEyLzMxLzIwMTMIAAAACTMvMzEvMjAxMwkAAAABMNBi0bXet9sIxBD/td632wgxQ0lRLk5ZU0U6QUdDTy5JUV9FQklUREFfSU5ULjEwMDAuMTIvMzEvMjAxNS4uLlVTRAEAAABP2AQAAgAAAAkxMC4wMzkwMDEBCAAAAAUAAAABMQEAAAAKMTg3NjczNDU0MAMAAAADMTYwAgAAAAQ0MTkwBAAAAAEwBwAAAAoxMi8zMS8yMDE1CAAAAAoxMi8zMS8yMDE1CQAAAAEw0GLRtd632wjEEP+13rfbCDJDSVEuVFNFOjY1MDEuSVFfVE9UQUxfREVCVF9DQVBJVEFMLjEwMDAuMTIvMzAvMjAxNgEAAACbLQIAAgAAAAc0Ni42MjkyAQgAAAAFAAAAATEBAAAACjE3OTc1NTQ0NTEDAAAAAjc5AgAAAAQ0MTg2BAAAAAEwBwAAAAoxMi8zMC8yMDE2CAAAAAkzLzMxLzIwMTYJAAAAATDQYtG13rfbCMQQ/7Xet9sIMkNJUS5OWVNFOlRFWC5JUV9UT1RBTF9ERUJUX0NBUElUQUwuMTAwMC4xMi8zMS8yMDIxAQAAAA6zBAACAAAABzQwLjg4NDMBCAAAAAUAAAABMQEAAAALLTIwNjE2MzE2MjkDAAAAAzE2MAIAAAAENDE4NgQAAAABMAcAAAAKMTIvMzEvMjAyMQgAAAAKMTIvMzEvMjAyMQkAAAABMNBi0bXet9sIxBD/td632wgxQ0lRLk5ZU0U6REUuSVFfVE9UQUxfREVC</t>
  </si>
  <si>
    <t>VF9DQVBJVEFMLjEwMDAuMTIvMzEvMjAyMgEAAACADwQAAgAAAAc3Mi4zNjc2AQgAAAAFAAAAATEBAAAACy0yMDY1Mzg4NDY4AwAAAAMxNjACAAAABDQxODYEAAAAATAHAAAACjEyLzMxLzIwMjIIAAAACjEwLzMwLzIwMjIJAAAAATDQYtG13rfbCMQQ/7Xet9sIM0NJUS5OWVNFOkFHQ08uSVFfVE9UQUxfREVCVF9DQVBJVEFMLjEwMDAuMTIvMzEvMjAxNwEAAABP2AQAAgAAAAczNS42OTY3AQgAAAAFAAAAATEBAAAACjIwMTgzNjA4MjMDAAAAAzE2MAIAAAAENDE4NgQAAAABMAcAAAAKMTIvMzEvMjAxNwgAAAAKMTIvMzEvMjAxNwkAAAABMNBi0bXet9sIxBD/td632wgxQ0lRLlRTRTo2NTAxLklRX1RPVEFMX0RFQlRfRVFVSVRZLjEwMDAuMTIvMzEvMjAxOAEAAACbLQIAAgAAAAcyMy4yNzk0AQgAAAAFAAAAATEBAAAACjE5Njk5MDMyOTEDAAAAAjc5AgAAAAQ0MDM0BAAAAAEwBwAAAAoxMi8zMS8yMDE4CAAAAAkzLzMxLzIwMTgJAAAAATDQYtG13rfbCMQQ/7Xet9sIMUNJUS5OU0VJOk0mTS5JUV9UT1RBTF9ERUJUX0VRVUlUWS4xMDAwLjEyLzMxLzIwMTQBAAAAQmcNAAIAAAAIMTIxLjkzMDEBCAAAAAUAAAABMQEAAAAKMTc0NTcyODc2MwMAAAACNzICAAAABDQwMzQEAAAAATAHAAAACjEyLzMxLzIwMTQIAAAACTMvMzEvMjAxNAkAAAABMNBi0bXet9sIxBD/td632wg1Q0lRLk5TRUk6TSZNLklRX05FVF9E</t>
  </si>
  <si>
    <t>RUJUX0VCSVREQS4xMDAwLjEyLzMxLzIwMTUuLi5VU0QBAAAAQmcNAAIAAAAIMy41MDU0ODYBCAAAAAUAAAABMQEAAAAKMTc5OTI5NjU3MAMAAAACNzICAAAABDQxOTMEAAAAATAHAAAACjEyLzMxLzIwMTUIAAAACTMvMzEvMjAxNQkAAAABMNBi0bXet9sIxBD/td632wg2Q0lRLk5ZU0U6QUdDTy5JUV9ORVRfREVCVF9FQklUREEuMTAwMC4xMi8zMS8yMDE0Li4uVVNEAQAAAE/YBAACAAAACDAuNzQ4MTc2AQgAAAAFAAAAATEBAAAACjE4Mjk5NTA5NzgDAAAAAzE2MAIAAAAENDE5MwQAAAABMAcAAAAKMTIvMzEvMjAxNAgAAAAKMTIvMzEvMjAxNAkAAAABMNBi0bXet9sIxBD/td632wgyQ0lRLlRTRTo2NTAxLklRX1RPVEFMX0RFQlRfQ0FQSVRBTC4xMDAwLjEyLzMxLzIwMTUBAAAAmy0CAAIAAAAHNDUuMzI5NgEIAAAABQAAAAExAQAAAAoxNzQ1MjcwNjcyAwAAAAI3OQIAAAAENDE4NgQAAAABMAcAAAAKMTIvMzEvMjAxNQgAAAAJMy8zMS8yMDE1CQAAAAEw0GLRtd632whxrfy13rfbCDJDSVEuTllTRTpURVguSVFfVE9UQUxfREVCVF9DQVBJVEFMLjEwMDAuMTIvMzEvMjAyMAEAAAAOswQAAgAAAAc1OC4yNDI3AQgAAAAFAAAAATEBAAAACy0yMDYxNjMxNjM4AwAAAAMxNjACAAAABDQxODYEAAAAATAHAAAACjEyLzMxLzIwMjAIAAAACjEyLzMxLzIwMjAJAAAAATDQYtG13rfbCHGt/LXet9sIMUNJUS5OWVNF</t>
  </si>
  <si>
    <t>OkRFLklRX1RPVEFMX0RFQlRfQ0FQSVRBTC4xMDAwLjEyLzMxLzIwMjEBAAAAgA8EAAIAAAAHNzIuNTkyNQEIAAAABQAAAAExAQAAAAstMjA2NTM4ODQ5NQMAAAADMTYwAgAAAAQ0MTg2BAAAAAEwBwAAAAoxMi8zMS8yMDIxCAAAAAoxMC8zMS8yMDIxCQAAAAEw0GLRtd632whxrfy13rfbCDJDSVEuVFNFOjYzMjYuSVFfVE9UQUxfREVCVF9DQVBJVEFMLjEwMDAuMTIvMzEvMjAyMgEAAAAZVwQAAgAAAAc0My42Nzk5AQgAAAAFAAAAATEBAAAACy0yMDU1NjE2NDM0AwAAAAI3OQIAAAAENDE4NgQAAAABMAcAAAAKMTIvMzEvMjAyMggAAAAKMTIvMzEvMjAyMgkAAAABMNBi0bXet9sIca38td632wgzQ0lRLk5ZU0U6QUdDTy5JUV9UT1RBTF9ERUJUX0NBUElUQUwuMTAwMC4xMi8zMC8yMDE2AQAAAE/YBAACAAAABzMwLjAyNzEBCAAAAAUAAAABMQEAAAAKMTg3NjczNDU0MAMAAAADMTYwAgAAAAQ0MTg2BAAAAAEwBwAAAAoxMi8zMC8yMDE2CAAAAAoxMi8zMS8yMDE1CQAAAAEw0GLRtd632whxrfy13rfbCDFDSVEuVFNFOjY1MDEuSVFfVE9UQUxfREVCVF9FUVVJVFkuMTAwMC4xMi8zMS8yMDE3AQAAAJstAgACAAAABzI4LjcxODYBCAAAAAUAAAABMQEAAAAKMTk2MzMxNTkwMAMAAAACNzkCAAAABDQwMzQEAAAAATAHAAAACjEyLzMxLzIwMTcIAAAACTMvMzEvMjAxNwkAAAABMNBi0bXet9sIca38td632wgxQ0lR</t>
  </si>
  <si>
    <t>Lk5ZU0U6VEVYLklRX1RPVEFMX0RFQlRfRVFVSVRZLjEwMDAuMTIvMzEvMjAyMgEAAAAOswQAAgAAAAc3My4xOTY3AQgAAAAFAAAAATEBAAAACy0yMDYxNjMxNjM5AwAAAAMxNjACAAAABDQwMzQEAAAAATAHAAAACjEyLzMxLzIwMjIIAAAACjEyLzMxLzIwMjIJAAAAATDQYtG13rfbCHGt/LXet9sIMUNJUS5OU0VJOk0mTS5JUV9UT1RBTF9ERUJUX0VRVUlUWS4xMDAwLjEyLzMxLzIwMTMBAAAAQmcNAAIAAAAIMTE0LjA3OTQBCAAAAAUAAAABMQEAAAAKMTY5MDEwMjI3NQMAAAACNzICAAAABDQwMzQEAAAAATAHAAAACjEyLzMxLzIwMTMIAAAACTMvMzEvMjAxMwkAAAABMNBi0bXet9sIca38td632wgyQ0lRLk5ZU0U6QUdDTy5JUV9UT1RBTF9ERUJUX0VRVUlUWS4xMDAwLjEyLzMxLzIwMTgBAAAAT9gEAAIAAAAHNTAuMTU1MwEIAAAABQAAAAExAQAAAAoyMDgyNDk3NzEzAwAAAAMxNjACAAAABDQwMzQEAAAAATAHAAAACjEyLzMxLzIwMTgIAAAACjEyLzMxLzIwMTgJAAAAATDQYtG13rfbCHGt/LXet9sINUNJUS5OWVNFOlRFWC5JUV9ORVRfREVCVF9FQklUREEuMTAwMC4xMi8zMS8yMDIyLi4uVVNEAQAAAA6zBAACAAAACDEuMTAyMDQ0AQgAAAAFAAAAATEBAAAACy0yMDYxNjMxNjM5AwAAAAMxNjACAAAABDQxOTMEAAAAATAHAAAACjEyLzMxLzIwMjIIAAAACjEyLzMxLzIwMjIJAAAAATDQYtG13rfbCHGt</t>
  </si>
  <si>
    <t>/LXet9sINUNJUS5UU0U6NjMyNi5JUV9ORVRfREVCVF9FQklUREEuMTAwMC4xMi8zMS8yMDIwLi4uVVNEAQAAABlXBAACAAAACDIuNjk2MDY3AQgAAAAFAAAAATEBAAAACy0yMTA3NzE0MDA4AwAAAAI3OQIAAAAENDE5MwQAAAABMAcAAAAKMTIvMzEvMjAyMAgAAAAKMTIvMzEvMjAyMAkAAAABMNBi0bXet9sIca38td632wg1Q0lRLlRTRTo2NTAxLklRX05FVF9ERUJUX0VCSVREQS4xMDAwLjEyLzMxLzIwMjAuLi5VU0QBAAAAmy0CAAIAAAAIMC4zNzk2OTIBCAAAAAUAAAABMQEAAAALLTIxMjA1NTc0ODYDAAAAAjc5AgAAAAQ0MTkzBAAAAAEwBwAAAAoxMi8zMS8yMDIwCAAAAAkzLzMxLzIwMjAJAAAAATDQYtG13rfbCHGt/LXet9sIOENJUS5TSFNFOjYwMDAzMS5JUV9ORVRfREVCVF9FQklUREEuMTAwMC4xMi8zMS8yMDIyLi4uVVNEAQAAAC9QWQACAAAACDAuMTIyMjUzAQgAAAAFAAAAATEBAAAACy0yMDUyNTU5NDc0AwAAAAIzMgIAAAAENDE5MwQAAAABMAcAAAAKMTIvMzEvMjAyMggAAAAKMTIvMzEvMjAyMgkAAAABMNBi0bXet9sIca38td632wg1Q0lRLk5ZU0U6Q0FULklRX05FVF9ERUJUX0VCSVREQS4xMDAwLjEyLzMxLzIwMTguLi5VU0QBAAAAMvUDAAIAAAAIMi42Njg0MzgBCAAAAAUAAAABMQEAAAAKMjA4MDY0ODE0MwMAAAADMTYwAgAAAAQ0MTkzBAAAAAEwBwAAAAoxMi8zMS8yMDE4CAAAAAox</t>
  </si>
  <si>
    <t>Mi8zMS8yMDE4CQAAAAEw0GLRtd632whxrfy13rfbCDpDSVEuTkFTREFRQ006VE9STy5JUV9ORVRfREVCVF9FQklUREEuMTAwMC4xMi8zMS8yMDE3Li4uVVNEAQAAAHl7NmwDAAAAAADQYtG13rfbCHGt/LXet9sIJkNJUS5OQVNEQVFDTTpUT1JPLklRX1RPVEFMX0RFQlRfRUJJVERBAQAAAHl7NmwCAAAACDAuMDcwNDE2AQgAAAAFAAAAATEBAAAACy0yMDMyNjA4Mjg2AwAAAAMxNjACAAAABDQxOTIEAAAAATAHAAAACTkvMTgvMjAyMwgAAAAJNi8zMC8yMDIzCQAAAAEw0GLRtd632whxrfy13rfbCDBDSVEuTllTRTpDQVQuSVFfRUJJVERBX0lOVC4xMDAwLjEyLzMxLzIwMTcuLi5VU0QBAAAAMvUDAAIAAAAIMTUuOTE5MDIBCAAAAAUAAAABMQEAAAAKMjAxNTg2OTIxNwMAAAADMTYwAgAAAAQ0MTkwBAAAAAEwBwAAAAoxMi8zMS8yMDE3CAAAAAoxMi8zMS8yMDE3CQAAAAEw0GLRtd632whxrfy13rfbCDVDSVEuTkFTREFRQ006VE9STy5JUV9FQklUREFfSU5ULjEwMDAuMTIvMzEvMjAxOC4uLlVTRAEAAAB5ezZsAwAAAAAA0GLRtd632whxrfy13rfbCDFDSVEuTllTRTpDTkhJLklRX0VCSVREQV9JTlQuMTAwMC4xMi8zMS8yMDIwLi4uVVNEAQAAAE5iGQYCAAAACDUuMzcxNDI4AQgAAAAFAAAAATEBAAAACy0yMDU5MDEyNTM2AwAAAAMxNjACAAAABDQxOTAEAAAAATAHAAAACjEyLzMxLzIwMjAIAAAACjEyLzMx</t>
  </si>
  <si>
    <t>LzIwMjAJAAAAATDQYtG13rfbCHGt/LXet9sIM0NJUS5OWVNFOkNOSEkuSVFfVE9UQUxfREVCVF9DQVBJVEFMLjEwMDAuMTIvMzEvMjAyMgEAAABOYhkGAgAAAAc3Ni45NzY4AQgAAAAFAAAAATEBAAAACy0yMDU5MDEyNTg0AwAAAAMxNjACAAAABDQxODYEAAAAATAHAAAACjEyLzMxLzIwMjIIAAAACjEyLzMxLzIwMjIJAAAAATDQYtG13rfbCHGt/LXet9sIMkNJUS5OWVNFOkNBVC5JUV9UT1RBTF9ERUJUX0NBUElUQUwuMTAwMC4xMi8zMC8yMDE2AQAAADL1AwACAAAABjcxLjg2MwEIAAAABQAAAAExAQAAAAoxODc0NTI0NDUzAwAAAAMxNjACAAAABDQxODYEAAAAATAHAAAACjEyLzMwLzIwMTYIAAAACjEyLzMxLzIwMTUJAAAAATDQYtG13rfbCHGt/LXet9sIN0NJUS5OQVNEQVFDTTpUT1JPLklRX1RPVEFMX0RFQlRfQ0FQSVRBTC4xMDAwLjEyLzMxLzIwMTcBAAAAeXs2bAMAAAAAANBi0bXet9sIca38td632wg0Q0lRLlNIU0U6NjAwMDMxLklRX1RPVEFMX0RFQlRfRVFVSVRZLjEwMDAuMTIvMzEvMjAxMwEAAAAvUFkAAgAAAAc5My45MTkyAQgAAAAFAAAAATEBAAAACjE3Mjk1NDU2NzYDAAAAAjMyAgAAAAQ0MDM0BAAAAAEwBwAAAAoxMi8zMS8yMDEzCAAAAAoxMi8zMS8yMDEzCQAAAAEw0GLRtd632whxrfy13rfbCDFDSVEuTllTRTpDQVQuSVFfVE9UQUxfREVCVF9FUVVJVFkuMTAwMC4xMi8zMS8yMDE4</t>
  </si>
  <si>
    <t>AQAAADL1AwACAAAACDI1OS44OTM0AQgAAAAFAAAAATEBAAAACjIwODA2NDgxNDMDAAAAAzE2MAIAAAAENDAzNAQAAAABMAcAAAAKMTIvMzEvMjAxOAgAAAAKMTIvMzEvMjAxOAkAAAABMNBi0bXet9sIca38td632wg2Q0lRLk5BU0RBUUNNOlRPUk8uSVFfVE9UQUxfREVCVF9FUVVJVFkuMTAwMC4xMi8zMS8yMDE5AQAAAHl7NmwDAAAAAADQYtG13rfbCHGt/LXet9sIMUNJUS5UU0U6NjMyNi5JUV9UT1RBTF9ERUJUX0VRVUlUWS4xMDAwLjEyLzMxLzIwMTMBAAAAGVcEAAIAAAAHNjAuMzA2OQEIAAAABQAAAAExAQAAAAoxNzQzNTY1NzI5AwAAAAI3OQIAAAAENDAzNAQAAAABMAcAAAAKMTIvMzEvMjAxMwgAAAAJMy8zMS8yMDEzCQAAAAEw0GLRtd632whxrfy13rfbCDhDSVEuU0hTRTo2MDAwMzEuSVFfTkVUX0RFQlRfRUJJVERBLjEwMDAuMTIvMzEvMjAxOC4uLlVTRAEAAAAvUFkAAgAAAAgwLjEyMzA0MwEIAAAABQAAAAExAQAAAAoyMDMwMTI4MjI5AwAAAAIzMgIAAAAENDE5MwQAAAABMAcAAAAKMTIvMzEvMjAxOAgAAAAKMTIvMzEvMjAxOAkAAAABMNBi0bXet9sIca38td632wg1Q0lRLk5ZU0U6Q0FULklRX05FVF9ERUJUX0VCSVREQS4xMDAwLjEyLzMxLzIwMTcuLi5VU0QBAAAAMvUDAAIAAAAIMy4yNTMxNjQBCAAAAAUAAAABMQEAAAAKMjAxNTg2OTIxNwMAAAADMTYwAgAAAAQ0MTkzBAAAAAEwBwAA</t>
  </si>
  <si>
    <t>AAoxMi8zMS8yMDE3CAAAAAoxMi8zMS8yMDE3CQAAAAEw0GLRtd632whxrfy13rfbCDpDSVEuTkFTREFRQ006VE9STy5JUV9ORVRfREVCVF9FQklUREEuMTAwMC4xMi8zMC8yMDE2Li4uVVNEAQAAAHl7NmwDAAAAAADQYtG13rfbCHGt/LXet9sINkNJUS5OWVNFOkNOSEkuSVFfTkVUX0RFQlRfRUJJVERBLjEwMDAuMTIvMzEvMjAyMC4uLlVTRAEAAABOYhkGAgAAAAkxOS4yMTkxNDgBCAAAAAUAAAABMQEAAAALLTIwNTkwMTI1MzYDAAAAAzE2MAIAAAAENDE5MwQAAAABMAcAAAAKMTIvMzEvMjAyMAgAAAAKMTIvMzEvMjAyMAkAAAABMNBi0bXet9sIca38td632wgvQ0lRLk5ZU0U6REUuSVFfRUJJVERBX0lOVC4xMDAwLjEyLzMxLzIwMjEuLi5VU0QBAAAAgA8EAAIAAAAJMjkuNjE0Mzc5AQgAAAAFAAAAATEBAAAACy0yMDY1Mzg4NDk1AwAAAAMxNjACAAAABDQxOTAEAAAAATAHAAAACjEyLzMxLzIwMjEIAAAACjEwLzMxLzIwMjEJAAAAATDQYtG13rfbCHGt/LXet9sIMUNJUS5OWVNFOkNOSEkuSVFfRUJJVERBX0lOVC4xMDAwLjEyLzMxLzIwMjIuLi5VU0QBAAAATmIZBgIAAAAJMjQuNzk2OTkyAQgAAAAFAAAAATEBAAAACy0yMDU5MDEyNTg0AwAAAAMxNjACAAAABDQxOTAEAAAAATAHAAAACjEyLzMxLzIwMjIIAAAACjEyLzMxLzIwMjIJAAAAATDQYtG13rfbCHGt/LXet9sIMENJUS5OWVNFOkNBVC5JUV9F</t>
  </si>
  <si>
    <t>QklUREFfSU5ULjEwMDAuMTIvMzAvMjAxNi4uLlVTRAEAAAAy9QMAAgAAAAkxNS4xOTcyMzgBCAAAAAUAAAABMQEAAAAKMTg3NDUyNDQ1MwMAAAADMTYwAgAAAAQ0MTkwBAAAAAEwBwAAAAoxMi8zMC8yMDE2CAAAAAoxMi8zMS8yMDE1CQAAAAEw0GLRtd632whxrfy13rfbCDVDSVEuTkFTREFRQ006VE9STy5JUV9FQklUREFfSU5ULjEwMDAuMTIvMzEvMjAxNy4uLlVTRAEAAAB5ezZsAwAAAAAA0GLRtd632whxrfy13rfbCDFDSVEuTllTRTpDTkhJLklRX0VCSVREQV9JTlQuMTAwMC4xMi8zMS8yMDE5Li4uVVNEAQAAAE5iGQYCAAAACTEyLjk3MDE0OQEIAAAABQAAAAExAQAAAAstMjEwOTc4NTgzMgMAAAADMTYwAgAAAAQ0MTkwBAAAAAEwBwAAAAoxMi8zMS8yMDE5CAAAAAoxMi8zMS8yMDE5CQAAAAEw0GLRtd632whxrfy13rfbCDFDSVEuTllTRTpERS5JUV9UT1RBTF9ERUJUX0NBUElUQUwuMTAwMC4xMi8zMS8yMDIwAQAAAIAPBAACAAAABzc4LjE4NTIBCAAAAAUAAAABMQEAAAALLTIxMTY3ODUwNjkDAAAAAzE2MAIAAAAENDE4NgQAAAABMAcAAAAKMTIvMzEvMjAyMAgAAAAJMTEvMS8yMDIwCQAAAAEw0GLRtd632whxrfy13rfbCDNDSVEuTllTRTpDTkhJLklRX1RPVEFMX0RFQlRfQ0FQSVRBTC4xMDAwLjEyLzMxLzIwMjEBAAAATmIZBgIAAAAHNzUuNTEyNwEIAAAABQAAAAExAQAAAAstMjA1OTAxMjYw</t>
  </si>
  <si>
    <t>MwMAAAADMTYwAgAAAAQ0MTg2BAAAAAEwBwAAAAoxMi8zMS8yMDIxCAAAAAoxMi8zMS8yMDIxCQAAAAEw0GLRtd632whxrfy13rfbCDJDSVEuTllTRTpDQVQuSVFfVE9UQUxfREVCVF9DQVBJVEFMLjEwMDAuMTIvMzEvMjAxNQEAAAAy9QMAAgAAAAY3MS44NjMBCAAAAAUAAAABMQEAAAAKMTg3NDUyNDQ1MwMAAAADMTYwAgAAAAQ0MTg2BAAAAAEwBwAAAAoxMi8zMS8yMDE1CAAAAAoxMi8zMS8yMDE1CQAAAAEw0GLRtd632whxrfy13rfbCDdDSVEuTkFTREFRQ006VE9STy5JUV9UT1RBTF9ERUJUX0NBUElUQUwuMTAwMC4xMi8zMC8yMDE2AQAAAHl7NmwDAAAAAADQYtG13rfbCHGt/LXet9sIMENJUS5OWVNFOkRFLklRX1RPVEFMX0RFQlRfRVFVSVRZLjEwMDAuMTIvMzEvMjAyMgEAAACADwQAAgAAAAgyNjEuODk1MQEIAAAABQAAAAExAQAAAAstMjA2NTM4ODQ2OAMAAAADMTYwAgAAAAQ0MDM0BAAAAAEwBwAAAAoxMi8zMS8yMDIyCAAAAAoxMC8zMC8yMDIyCQAAAAEw0GLRtd632whxrfy13rfbCDFDSVEuTllTRTpDQVQuSVFfVE9UQUxfREVCVF9FUVVJVFkuMTAwMC4xMi8zMS8yMDE3AQAAADL1AwACAAAACDI1My4zNzc4AQgAAAAFAAAAATEBAAAACjIwMTU4NjkyMTcDAAAAAzE2MAIAAAAENDAzNAQAAAABMAcAAAAKMTIvMzEvMjAxNwgAAAAKMTIvMzEvMjAxNwkAAAABMNBi0bXet9sIca38td632wg2Q0lR</t>
  </si>
  <si>
    <t>Lk5BU0RBUUNNOlRPUk8uSVFfVE9UQUxfREVCVF9FUVVJVFkuMTAwMC4xMi8zMS8yMDE4AQAAAHl7NmwDAAAAAADQYtG13rfbCHGt/LXet9sIOENJUS5TSFNFOjYwMDAzMS5JUV9ORVRfREVCVF9FQklUREEuMTAwMC4xMi8zMS8yMDE3Li4uVVNEAQAAAC9QWQACAAAACDEuMTkyMDM3AQgAAAAFAAAAATEBAAAACjE5NTI2MjAzODkDAAAAAjMyAgAAAAQ0MTkzBAAAAAEwBwAAAAoxMi8zMS8yMDE3CAAAAAoxMi8zMS8yMDE3CQAAAAEw0GLRtd632whxrfy13rfbCDVDSVEuTllTRTpDQVQuSVFfTkVUX0RFQlRfRUJJVERBLjEwMDAuMTIvMzAvMjAxNi4uLlVTRAEAAAAy9QMAAgAAAAg0LjI0MTAxMgEIAAAABQAAAAExAQAAAAoxODc0NTI0NDUzAwAAAAMxNjACAAAABDQxOTMEAAAAATAHAAAACjEyLzMwLzIwMTYIAAAACjEyLzMxLzIwMTUJAAAAATDQYtG13rfbCHGt/LXet9sIOkNJUS5OQVNEQVFDTTpUT1JPLklRX05FVF9ERUJUX0VCSVREQS4xMDAwLjEyLzMxLzIwMTUuLi5VU0QBAAAAeXs2bAMAAAAAANBi0bXet9sIca38td632wg2Q0lRLk5ZU0U6Q05ISS5JUV9ORVRfREVCVF9FQklUREEuMTAwMC4xMi8zMS8yMDE5Li4uVVNEAQAAAE5iGQYCAAAACDguMDA5NTg5AQgAAAAFAAAAATEBAAAACy0yMTA5Nzg1ODMyAwAAAAMxNjACAAAABDQxOTMEAAAAATAHAAAACjEyLzMxLzIwMTkIAAAACjEyLzMxLzIwMTkJ</t>
  </si>
  <si>
    <t>AAAAATDQYtG13rfbCHGt/LXet9sIMUNJUS5OWVNFOkNOSEkuSVFfRUJJVERBX0lOVC4xMDAwLjEyLzMxLzIwMjEuLi5VU0QBAAAATmIZBgIAAAAJMTcuNjkyODU3AQgAAAAFAAAAATEBAAAACy0yMDU5MDEyNjAzAwAAAAMxNjACAAAABDQxOTAEAAAAATAHAAAACjEyLzMxLzIwMjEIAAAACjEyLzMxLzIwMjEJAAAAATDQYtG13rfbCHGt/LXet9sIMENJUS5OWVNFOkNBVC5JUV9FQklUREFfSU5ULjEwMDAuMTIvMzEvMjAxNS4uLlVTRAEAAAAy9QMAAgAAAAkxNS4xOTcyMzgBCAAAAAUAAAABMQEAAAAKMTg3NDUyNDQ1MwMAAAADMTYwAgAAAAQ0MTkwBAAAAAEwBwAAAAoxMi8zMS8yMDE1CAAAAAoxMi8zMS8yMDE1CQAAAAEw0GLRtd632whxrfy13rfbCDVDSVEuTkFTREFRQ006VE9STy5JUV9FQklUREFfSU5ULjEwMDAuMTIvMzAvMjAxNi4uLlVTRAEAAAB5ezZsAwAAAAAA0GLRtd632whxrfy13rfbCDFDSVEuTllTRTpDTkhJLklRX0VCSVREQV9JTlQuMTAwMC4xMi8zMS8yMDE4Li4uVVNEAQAAAE5iGQYCAAAACTExLjYyNTk4NAEIAAAABQAAAAExAQAAAAoyMDgyOTQ3MTcwAwAAAAMxNjACAAAABDQxOTAEAAAAATAHAAAACjEyLzMxLzIwMTgIAAAACjEyLzMxLzIwMTgJAAAAATDQYtG13rfbCHGt/LXet9sIM0NJUS5OWVNFOkNOSEkuSVFfVE9UQUxfREVCVF9DQVBJVEFMLjEwMDAuMTIvMzEvMjAyMAEAAABO</t>
  </si>
  <si>
    <t>YhkGAgAAAAc4NC4wNzU4AQgAAAAFAAAAATEBAAAACy0yMDU5MDEyNTM2AwAAAAMxNjACAAAABDQxODYEAAAAATAHAAAACjEyLzMxLzIwMjAIAAAACjEyLzMxLzIwMjAJAAAAATDQYtG13rfbCHGt/LXet9sIMkNJUS5OWVNFOkNBVC5JUV9UT1RBTF9ERUJUX0NBUElUQUwuMTAwMC4xMi8zMS8yMDE0AQAAADL1AwACAAAABzcwLjAxNzIBCAAAAAUAAAABMQEAAAAKMTgyNzg2OTE2NQMAAAADMTYwAgAAAAQ0MTg2BAAAAAEwBwAAAAoxMi8zMS8yMDE0CAAAAAoxMi8zMS8yMDE0CQAAAAEw0GLRtd632whxrfy13rfbCDdDSVEuTkFTREFRQ006VE9STy5JUV9UT1RBTF9ERUJUX0NBUElUQUwuMTAwMC4xMi8zMS8yMDE1AQAAAHl7NmwDAAAAAADQYtG13rfbCHGt/LXet9sINUNJUS5OWVNFOkNBVC5JUV9ORVRfREVCVF9FQklUREEuMTAwMC4xMi8zMS8yMDE0Li4uVVNEAQAAADL1AwACAAAACDQuNzU5MTI4AQgAAAAFAAAAATEBAAAACjE4Mjc4NjkxNjUDAAAAAzE2MAIAAAAENDE5MwQAAAABMAcAAAAKMTIvMzEvMjAxNAgAAAAKMTIvMzEvMjAxNAkAAAABMNBi0bXet9sIca38td632wg1Q0lRLlRTRTo2MzI2LklRX05FVF9ERUJUX0VCSVREQS4xMDAwLjEyLzMwLzIwMTYuLi5VU0QBAAAAGVcEAAIAAAAHMi4yOTM4NwEIAAAABQAAAAExAQAAAAoxODc5NTk0OTQ4AwAAAAI3OQIAAAAENDE5MwQAAAABMAcAAAAKMTIv</t>
  </si>
  <si>
    <t>MzAvMjAxNggAAAAKMTIvMzEvMjAxNQkAAAABMNBi0bXet9sIca38td632wgvQ0lRLk5ZU0U6REUuSVFfRUJJVERBX0lOVC4xMDAwLjEyLzMxLzIwMTUuLi5VU0QBAAAAgA8EAAIAAAAJMTcuMzA4ODg4AQgAAAAFAAAAATEBAAAACjE4Njk5NzE4MDEDAAAAAzE2MAIAAAAENDE5MAQAAAABMAcAAAAKMTIvMzEvMjAxNQgAAAAJMTEvMS8yMDE1CQAAAAEw0GLRtd632whxrfy13rfbCDFDSVEuTllTRTpDTkhJLklRX0VCSVREQV9JTlQuMTAwMC4xMi8zMS8yMDE3Li4uVVNEAQAAAE5iGQYCAAAACDYuNDQ0MTU1AQgAAAAFAAAAATEBAAAACjIwMTkzMzM4OTgDAAAAAzE2MAIAAAAENDE5MAQAAAABMAcAAAAKMTIvMzEvMjAxNwgAAAAKMTIvMzEvMjAxNwkAAAABMNBi0bXet9sIca38td632wgyQ0lRLk5ZU0U6Q0FULklRX1RPVEFMX0RFQlRfQ0FQSVRBTC4xMDAwLjEyLzMxLzIwMTMBAAAAMvUDAAIAAAAHNjQuMzkyNgEIAAAABQAAAAExAQAAAAoxNzc2NDQyMTAyAwAAAAMxNjACAAAABDQxODYEAAAAATAHAAAACjEyLzMxLzIwMTMIAAAACjEyLzMxLzIwMTMJAAAAATDQYtG13rfbCHGt/LXet9sIMkNJUS5UU0U6NjMyNi5JUV9UT1RBTF9ERUJUX0NBUElUQUwuMTAwMC4xMi8zMS8yMDIwAQAAABlXBAACAAAABzM2Ljc5ODcBCAAAAAUAAAABMQEAAAALLTIxMDc3MTQwMDgDAAAAAjc5AgAAAAQ0MTg2BAAAAAEwBwAA</t>
  </si>
  <si>
    <t>AAoxMi8zMS8yMDIwCAAAAAoxMi8zMS8yMDIwCQAAAAEw0GLRtd632whxrfy13rfbCDJDSVEuTllTRTpDTkhJLklRX1RPVEFMX0RFQlRfRVFVSVRZLjEwMDAuMTIvMzEvMjAxOAEAAABOYhkGAgAAAAg0ODAuMDcwNgEIAAAABQAAAAExAQAAAAoyMDgyOTQ3MTcwAwAAAAMxNjACAAAABDQwMzQEAAAAATAHAAAACjEyLzMxLzIwMTgIAAAACjEyLzMxLzIwMTgJAAAAATDQYtG13rfbCHGt/LXet9sIMENJUS5OWVNFOkRFLklRX1RPVEFMX0RFQlRfRVFVSVRZLjEwMDAuMTIvMzEvMjAxNQEAAACADwQAAgAAAAg1NDYuMTkwOQEIAAAABQAAAAExAQAAAAoxODY5OTcxODAxAwAAAAMxNjACAAAABDQwMzQEAAAAATAHAAAACjEyLzMxLzIwMTUIAAAACTExLzEvMjAxNQkAAAABMNBi0bXet9sIca38td632wgyQ0lRLk5ZU0U6Q05ISS5JUV9UT1RBTF9ERUJUX0VRVUlUWS4xMDAwLjEyLzMxLzIwMjIBAAAATmIZBgIAAAAIMzM0LjM0NjMBCAAAAAUAAAABMQEAAAALLTIwNTkwMTI1ODQDAAAAAzE2MAIAAAAENDAzNAQAAAABMAcAAAAKMTIvMzEvMjAyMggAAAAKMTIvMzEvMjAyMgkAAAABMNBi0bXet9sIca38td632wg1Q0lRLlRTRTo2NTAxLklRX05FVF9ERUJUX0VCSVREQS4xMDAwLjEyLzMxLzIwMjIuLi5VU0QBAAAAmy0CAAIAAAAIMS40NzI4NzMBCAAAAAUAAAABMQEAAAALLTIwODg4MjE2NzEDAAAAAjc5AgAAAAQ0</t>
  </si>
  <si>
    <t>MTkzBAAAAAEwBwAAAAoxMi8zMS8yMDIyCAAAAAkzLzMxLzIwMjIJAAAAATDQYtG13rfbCHGt/LXet9sINUNJUS5OWVNFOkNBVC5JUV9ORVRfREVCVF9FQklUREEuMTAwMC4xMi8zMS8yMDEzLi4uVVNEAQAAADL1AwACAAAACDMuNzI2OTg2AQgAAAAFAAAAATEBAAAACjE3NzY0NDIxMDIDAAAAAzE2MAIAAAAENDE5MwQAAAABMAcAAAAKMTIvMzEvMjAxMwgAAAAKMTIvMzEvMjAxMwkAAAABMNBi0bXet9sIca38td632wg1Q0lRLlRTRTo2MzI2LklRX05FVF9ERUJUX0VCSVREQS4xMDAwLjEyLzMxLzIwMTUuLi5VU0QBAAAAGVcEAAIAAAAHMi4yOTM4NwEIAAAABQAAAAExAQAAAAoxODc5NTk0OTQ4AwAAAAI3OQIAAAAENDE5MwQAAAABMAcAAAAKMTIvMzEvMjAxNQgAAAAKMTIvMzEvMjAxNQkAAAABMNBi0bXet9sIca38td632wgvQ0lRLk5ZU0U6REUuSVFfRUJJVERBX0lOVC4xMDAwLjEyLzMxLzIwMTQuLi5VU0QBAAAAgA8EAAIAAAAJMjYuNzk5NjU2AQgAAAAFAAAAATEBAAAACjE4MjI5Njg2ODUDAAAAAzE2MAIAAAAENDE5MAQAAAABMAcAAAAKMTIvMzEvMjAxNAgAAAAKMTAvMzEvMjAxNAkAAAABMNBi0bXet9sIca38td632wgxQ0lRLk5ZU0U6Q05ISS5JUV9FQklUREFfSU5ULjEwMDAuMTIvMzAvMjAxNi4uLlVTRAEAAABOYhkGAgAAAAg0LjAzNTg0OQEIAAAABQAAAAExAQAAAAoxODc3NjA1MDI3AwAA</t>
  </si>
  <si>
    <t>AAMxNjACAAAABDQxOTAEAAAAATAHAAAACjEyLzMwLzIwMTYIAAAACjEyLzMxLzIwMTUJAAAAATDQYtG13rfbCHGt/LXet9sINUNJUS5TSFNFOjYwMDAzMS5JUV9UT1RBTF9ERUJUX0NBUElUQUwuMTAwMC4xMi8zMS8yMDIyAQAAAC9QWQACAAAABzM4LjExNjUBCAAAAAUAAAABMQEAAAALLTIwNTI1NTk0NzQDAAAAAjMyAgAAAAQ0MTg2BAAAAAEwBwAAAAoxMi8zMS8yMDIyCAAAAAoxMi8zMS8yMDIyCQAAAAEw0GLRtd632whxrfy13rfbCDJDSVEuVFNFOjYzMjYuSVFfVE9UQUxfREVCVF9DQVBJVEFMLjEwMDAuMTIvMzEvMjAxOQEAAAAZVwQAAgAAAAczOC4wNDA2AQgAAAAFAAAAATEBAAAACjIwODUyODgyMDEDAAAAAjc5AgAAAAQ0MTg2BAAAAAEwBwAAAAoxMi8zMS8yMDE5CAAAAAoxMi8zMS8yMDE5CQAAAAEw0GLRtd632whxrfy13rfbCDBDSVEuTllTRTpERS5JUV9UT1RBTF9ERUJUX0VRVUlUWS4xMDAwLjEyLzMxLzIwMTQBAAAAgA8EAAIAAAAINDA4LjU3NTMBCAAAAAUAAAABMQEAAAAKMTgyMjk2ODY4NQMAAAADMTYwAgAAAAQ0MDM0BAAAAAEwBwAAAAoxMi8zMS8yMDE0CAAAAAoxMC8zMS8yMDE0CQAAAAEw0GLRtd632whxrfy13rfbCDJDSVEuTllTRTpDTkhJLklRX1RPVEFMX0RFQlRfRVFVSVRZLjEwMDAuMTIvMzEvMjAyMQEAAABOYhkGAgAAAAgzMDguMzc1OAEIAAAABQAAAAExAQAAAAstMjA1</t>
  </si>
  <si>
    <t>OTAxMjYwMwMAAAADMTYwAgAAAAQ0MDM0BAAAAAEwBwAAAAoxMi8zMS8yMDIxCAAAAAoxMi8zMS8yMDIxCQAAAAEw0GLRtd632whxrfy13rfbCDVDSVEuVFNFOjY1MDEuSVFfTkVUX0RFQlRfRUJJVERBLjEwMDAuMTIvMzEvMjAyMS4uLlVTRAEAAACbLQIAAgAAAAgxLjE0MjcyOQEIAAAABQAAAAExAQAAAAstMjA4ODgyMTY0OQMAAAACNzkCAAAABDQxOTMEAAAAATAHAAAACjEyLzMxLzIwMjEIAAAACTMvMzEvMjAyMQkAAAABMNBi0bXet9sIca38td632wg1Q0lRLlRTRTo2MzI2LklRX05FVF9ERUJUX0VCSVREQS4xMDAwLjEyLzMxLzIwMTQuLi5VU0QBAAAAGVcEAAIAAAAIMi4wNjYyMDEBCAAAAAUAAAABMQEAAAAKMTc4MjQ0NjM1NQMAAAACNzkCAAAABDQxOTMEAAAAATAHAAAACjEyLzMxLzIwMTQIAAAACTMvMzEvMjAxNAkAAAABMNBi0bXet9sIca38td632wgvQ0lRLk5ZU0U6REUuSVFfRUJJVERBX0lOVC4xMDAwLjEyLzMxLzIwMTMuLi5VU0QBAAAAgA8EAAIAAAAIMjYuODEyNzcBCAAAAAUAAAABMQEAAAAKMTc3NDI3NDE3NwMAAAADMTYwAgAAAAQ0MTkwBAAAAAEwBwAAAAoxMi8zMS8yMDEzCAAAAAoxMC8zMS8yMDEzCQAAAAEw0GLRtd632whxrfy13rfbCDFDSVEuTllTRTpDTkhJLklRX0VCSVREQV9JTlQuMTAwMC4xMi8zMS8yMDE1Li4uVVNEAQAAAE5iGQYCAAAACDQuMDM1ODQ5AQgAAAAFAAAA</t>
  </si>
  <si>
    <t>ATEBAAAACjE4Nzc2MDUwMjcDAAAAAzE2MAIAAAAENDE5MAQAAAABMAcAAAAKMTIvMzEvMjAxNQgAAAAKMTIvMzEvMjAxNQkAAAABMNBi0bXet9sIca38td632wg1Q0lRLlNIU0U6NjAwMDMxLklRX1RPVEFMX0RFQlRfQ0FQSVRBTC4xMDAwLjEyLzMxLzIwMjEBAAAAL1BZAAIAAAAHMjguNDU5NgEIAAAABQAAAAExAQAAAAstMjA1MjU1OTQ3NgMAAAACMzICAAAABDQxODYEAAAAATAHAAAACjEyLzMxLzIwMjEIAAAACjEyLzMxLzIwMjEJAAAAATDQYtG13rfbCHGt/LXet9sIMkNJUS5UU0U6NjMyNi5JUV9UT1RBTF9ERUJUX0NBUElUQUwuMTAwMC4xMi8zMS8yMDE4AQAAABlXBAACAAAABzM3LjA5NjUBCAAAAAUAAAABMQEAAAAKMjAyMzA1NjA5NwMAAAACNzkCAAAABDQxODYEAAAAATAHAAAACjEyLzMxLzIwMTgIAAAACjEyLzMxLzIwMTgJAAAAATDQYtG13rfbCHGt/LXet9sIMENJUS5OWVNFOkRFLklRX1RPVEFMX0RFQlRfRVFVSVRZLjEwMDAuMTIvMzEvMjAxMwEAAACADwQAAgAAAAgzMzcuMTAyNwEIAAAABQAAAAExAQAAAAoxNzc0Mjc0MTc3AwAAAAMxNjACAAAABDQwMzQEAAAAATAHAAAACjEyLzMxLzIwMTMIAAAACjEwLzMxLzIwMTMJAAAAATDQYtG13rfbCHGt/LXet9sIMkNJUS5OWVNFOkNOSEkuSVFfVE9UQUxfREVCVF9FUVVJVFkuMTAwMC4xMi8zMS8yMDIwAQAAAE5iGQYCAAAACDUyNy45Nzc3</t>
  </si>
  <si>
    <t>AQgAAAAFAAAAATEBAAAACy0yMDU5MDEyNTM2AwAAAAMxNjACAAAABDQwMzQEAAAAATAHAAAACjEyLzMxLzIwMjAIAAAACjEyLzMxLzIwMjAJAAAAATDQYtG13rfbCHGt/LXet9sINUNJUS5UU0U6NjUwMS5JUV9ORVRfREVCVF9FQklUREEuMTAwMC4xMi8zMS8yMDE3Li4uVVNEAQAAAJstAgACAAAACDAuMDMxOTUyAQgAAAAFAAAAATEBAAAACjE5NjMzMTU5MDADAAAAAjc5AgAAAAQ0MTkzBAAAAAEwBwAAAAoxMi8zMS8yMDE3CAAAAAkzLzMxLzIwMTcJAAAAATDQYtG13rfbCHGt/LXet9sINUNJUS5UU0U6NjMyNi5JUV9ORVRfREVCVF9FQklUREEuMTAwMC4xMi8zMS8yMDEzLi4uVVNEAQAAABlXBAACAAAACDIuNzIxNTE0AQgAAAAFAAAAATEBAAAACjE3NDM1NjU3MjkDAAAAAjc5AgAAAAQ0MTkzBAAAAAEwBwAAAAoxMi8zMS8yMDEzCAAAAAkzLzMxLzIwMTMJAAAAATDQYtG13rfbCHGt/LXet9sINUNJUS5TSFNFOjYwMDAzMS5JUV9UT1RBTF9ERUJUX0NBUElUQUwuMTAwMC4xMi8zMS8yMDIwAQAAAC9QWQACAAAABzI0LjM1NzMBCAAAAAUAAAABMQEAAAALLTIxMDIwODEwMTcDAAAAAjMyAgAAAAQ0MTg2BAAAAAEwBwAAAAoxMi8zMS8yMDIwCAAAAAoxMi8zMS8yMDIwCQAAAAEw0GLRtd632whxrfy13rfbCDJDSVEuVFNFOjYzMjYuSVFfVE9UQUxfREVCVF9DQVBJVEFMLjEwMDAuMTIvMzEvMjAxNwEAAAAZ</t>
  </si>
  <si>
    <t>VwQAAgAAAAYzNy43MzYBCAAAAAUAAAABMQEAAAAKMTg3OTU5NDk0MgMAAAACNzkCAAAABDQxODYEAAAAATAHAAAACjEyLzMxLzIwMTcIAAAACjEyLzMxLzIwMTcJAAAAATDQYtG13rfbCHGt/LXet9sIMUNJUS5OWVNFOlRFWC5JUV9UT1RBTF9ERUJUX0VRVUlUWS4xMDAwLjEyLzMxLzIwMjEBAAAADrMEAAIAAAAFNjkuMTYBCAAAAAUAAAABMQEAAAALLTIwNjE2MzE2MjkDAAAAAzE2MAIAAAAENDAzNAQAAAABMAcAAAAKMTIvMzEvMjAyMQgAAAAKMTIvMzEvMjAyMQkAAAABMNBi0bXet9sIca38td632wgyQ0lRLk5ZU0U6Q05ISS5JUV9UT1RBTF9ERUJUX0VRVUlUWS4xMDAwLjEyLzMxLzIwMTkBAAAATmIZBgIAAAAINDExLjUwMDkBCAAAAAUAAAABMQEAAAALLTIxMDk3ODU4MzIDAAAAAzE2MAIAAAAENDAzNAQAAAABMAcAAAAKMTIvMzEvMjAxOQgAAAAKMTIvMzEvMjAxOQkAAAABMNBi0bXet9sIca38td632wg1Q0lRLlRTRTo2NTAxLklRX05FVF9ERUJUX0VCSVREQS4xMDAwLjEyLzMwLzIwMTYuLi5VU0QBAAAAmy0CAAIAAAAIMi41Mzg2MjgBCAAAAAUAAAABMQEAAAAKMTc5NzU1NDQ1MQMAAAACNzkCAAAABDQxOTMEAAAAATAHAAAACjEyLzMwLzIwMTYIAAAACTMvMzEvMjAxNgkAAAABMNBi0bXet9sIca38td632wg1Q0lRLk5BU0RBUUNNOlRPUk8uSVFfRUJJVERBX0lOVC4xMDAwLjEyLzMxLzIwMjIu</t>
  </si>
  <si>
    <t>Li5VU0QBAAAAeXs2bAIAAAAJNjUuNDkyMjgyAQgAAAAFAAAAATEBAAAACy0yMDMzMzQ2OTAwAwAAAAMxNjACAAAABDQxOTAEAAAAATAHAAAACjEyLzMxLzIwMjIIAAAACjEyLzMxLzIwMjIJAAAAATDQYtG13rfbCHGt/LXet9sIMUNJUS5OWVNFOkFHQ08uSVFfRUJJVERBX0lOVC4xMDAwLjEyLzMxLzIwMjAuLi5VU0QBAAAAT9gEAAIAAAAJMzguOTkxOTY3AQgAAAAFAAAAATEBAAAACy0yMDU5MDEyNTc3AwAAAAMxNjACAAAABDQxOTAEAAAAATAHAAAACjEyLzMxLzIwMjAIAAAACjEyLzMxLzIwMjAJAAAAATDQYtG13rfbCHGt/LXet9sINUNJUS5TSFNFOjYwMDAzMS5JUV9UT1RBTF9ERUJUX0NBUElUQUwuMTAwMC4xMi8zMS8yMDE5AQAAAC9QWQACAAAABzI2Ljc4NDUBCAAAAAUAAAABMQEAAAAKMjA4NjkxNzg3NgMAAAACMzICAAAABDQxODYEAAAAATAHAAAACjEyLzMxLzIwMTkIAAAACjEyLzMxLzIwMTkJAAAAATDQYtG13rfbCHGt/LXet9sIMkNJUS5UU0U6NjMyNi5JUV9UT1RBTF9ERUJUX0NBUElUQUwuMTAwMC4xMi8zMC8yMDE2AQAAABlXBAACAAAABzM4LjY4MjgBCAAAAAUAAAABMQEAAAAKMTg3OTU5NDk0OAMAAAACNzkCAAAABDQxODYEAAAAATAHAAAACjEyLzMwLzIwMTYIAAAACjEyLzMxLzIwMTUJAAAAATDQYtG13rfbCHGt/LXet9sIMENJUS5OWVNFOkRFLklRX1RPVEFMX0RFQlRfRVFVSVRZ</t>
  </si>
  <si>
    <t>LjEwMDAuMTIvMzAvMjAxNgEAAACADwQAAgAAAAc1NDQuNTYyAQgAAAAFAAAAATEBAAAACjE5MzYwMDQ5NzgDAAAAAzE2MAIAAAAENDAzNAQAAAABMAcAAAAKMTIvMzAvMjAxNggAAAAKMTAvMzAvMjAxNgkAAAABMNBi0bXet9sIca38td632wgxQ0lRLk5ZU0U6VEVYLklRX1RPVEFMX0RFQlRfRVFVSVRZLjEwMDAuMTIvMzEvMjAyMAEAAAAOswQAAgAAAAgxMzkuNDc5MQEIAAAABQAAAAExAQAAAAstMjA2MTYzMTYzOAMAAAADMTYwAgAAAAQ0MDM0BAAAAAEwBwAAAAoxMi8zMS8yMDIwCAAAAAoxMi8zMS8yMDIwCQAAAAEw0GLRtd632whxrfy13rfbCDZDSVEuTkFTREFRQ006VE9STy5JUV9UT1RBTF9ERUJUX0VRVUlUWS4xMDAwLjEyLzMxLzIwMjIBAAAAeXs2bAIAAAAGOS4zMDIzAQgAAAAFAAAAATEBAAAACy0yMDMzMzQ2OTAwAwAAAAMxNjACAAAABDQwMzQEAAAAATAHAAAACjEyLzMxLzIwMjIIAAAACjEyLzMxLzIwMjIJAAAAATDQYtG13rfbCHGt/LXet9sINUNJUS5UU0U6NjUwMS5JUV9ORVRfREVCVF9FQklUREEuMTAwMC4xMi8zMS8yMDE1Li4uVVNEAQAAAJstAgACAAAACDIuNzc0NDM1AQgAAAAFAAAAATEBAAAACjE3NDUyNzA2NzIDAAAAAjc5AgAAAAQ0MTkzBAAAAAEwBwAAAAoxMi8zMS8yMDE1CAAAAAkzLzMxLzIwMTUJAAAAATDQYtG13rfbCHGt/LXet9sIMENJUS5OWVNFOlRFWC5JUV9FQklU</t>
  </si>
  <si>
    <t>REFfSU5ULjEwMDAuMTIvMzEvMjAyMC4uLlVTRAEAAAAOswQAAgAAAAgyLjQ4ODYxOQEIAAAABQAAAAExAQAAAAstMjA2MTYzMTYzOAMAAAADMTYwAgAAAAQ0MTkwBAAAAAEwBwAAAAoxMi8zMS8yMDIwCAAAAAoxMi8zMS8yMDIwCQAAAAEw0GLRtd632whxrfy13rfbCDVDSVEuTkFTREFRQ006VE9STy5JUV9FQklUREFfSU5ULjEwMDAuMTIvMzEvMjAyMS4uLlVTRAEAAAB5ezZsAgAAAAg2LjEzOTM3OQEIAAAABQAAAAExAQAAAAstMjAzMzM0NjgzOQMAAAADMTYwAgAAAAQ0MTkwBAAAAAEwBwAAAAoxMi8zMS8yMDIxCAAAAAoxMi8zMS8yMDIxCQAAAAEw0GLRtd632whxrfy13rfbCDFDSVEuTllTRTpBR0NPLklRX0VCSVREQV9JTlQuMTAwMC4xMi8zMS8yMDE5Li4uVVNEAQAAAE/YBAACAAAACTI5LjgyOTg2MQEIAAAABQAAAAExAQAAAAstMjExMDQ1NzI4OAMAAAADMTYwAgAAAAQ0MTkwBAAAAAEwBwAAAAoxMi8zMS8yMDE5CAAAAAoxMi8zMS8yMDE5CQAAAAEw0GLRtd632whxrfy13rfbCDVDSVEuU0hTRTo2MDAwMzEuSVFfVE9UQUxfREVCVF9DQVBJVEFMLjEwMDAuMTIvMzEvMjAxOAEAAAAvUFkAAgAAAAczMS4xNTUyAQgAAAAFAAAAATEBAAAACjIwMzAxMjgyMjkDAAAAAjMyAgAAAAQ0MTg2BAAAAAEwBwAAAAoxMi8zMS8yMDE4CAAAAAoxMi8zMS8yMDE4CQAAAAEw0GLRtd632whxrfy13rfbCDJDSVEu</t>
  </si>
  <si>
    <t>VFNFOjYzMjYuSVFfVE9UQUxfREVCVF9DQVBJVEFMLjEwMDAuMTIvMzEvMjAxNQEAAAAZVwQAAgAAAAczOC42ODI4AQgAAAAFAAAAATEBAAAACjE4Nzk1OTQ5NDgDAAAAAjc5AgAAAAQ0MTg2BAAAAAEwBwAAAAoxMi8zMS8yMDE1CAAAAAoxMi8zMS8yMDE1CQAAAAEw0GLRtd632whxrfy13rfbCDFDSVEuTllTRTpURVguSVFfVE9UQUxfREVCVF9FUVVJVFkuMTAwMC4xMi8zMS8yMDE5AQAAAA6zBAACAAAACDE0MC4xMTU4AQgAAAAFAAAAATEBAAAACy0yMTEyNjEzMjQ1AwAAAAMxNjACAAAABDQwMzQEAAAAATAHAAAACjEyLzMxLzIwMTkIAAAACjEyLzMxLzIwMTkJAAAAATDQYtG13rfbCHGt/LXet9sINkNJUS5OQVNEQVFDTTpUT1JPLklRX1RPVEFMX0RFQlRfRVFVSVRZLjEwMDAuMTIvMzEvMjAyMQEAAAB5ezZsAgAAAAcxNS4zNzk3AQgAAAAFAAAAATEBAAAACy0yMDMzMzQ2ODM5AwAAAAMxNjACAAAABDQwMzQEAAAAATAHAAAACjEyLzMxLzIwMjEIAAAACjEyLzMxLzIwMjEJAAAAATDQYtG13rfbCHGt/LXet9sINUNJUS5UU0U6NjUwMS5JUV9ORVRfREVCVF9FQklUREEuMTAwMC4xMi8zMS8yMDE0Li4uVVNEAQAAAJstAgACAAAACDIuNTMwMDQzAQgAAAAFAAAAATEBAAAACjE3NDUyNzA1NDQDAAAAAjc5AgAAAAQ0MTkzBAAAAAEwBwAAAAoxMi8zMS8yMDE0CAAAAAkzLzMxLzIwMTQJAAAAATDQYtG13rfb</t>
  </si>
  <si>
    <t>CHGt/LXet9sINkNJUS5OWVNFOkNOSEkuSVFfTkVUX0RFQlRfRUJJVERBLjEwMDAuMTIvMzEvMjAxOC4uLlVTRAEAAABOYhkGAgAAAAc2LjczODU3AQgAAAAFAAAAATEBAAAACjIwODI5NDcxNzADAAAAAzE2MAIAAAAENDE5MwQAAAABMAcAAAAKMTIvMzEvMjAxOAgAAAAKMTIvMzEvMjAxOAkAAAABMNBi0bXet9sIca38td632wgwQ0lRLk5ZU0U6VEVYLklRX0VCSVREQV9JTlQuMTAwMC4xMi8zMS8yMDE5Li4uVVNEAQAAAA6zBAACAAAACDQuODk0MTk3AQgAAAAFAAAAATEBAAAACy0yMTEyNjEzMjQ1AwAAAAMxNjACAAAABDQxOTAEAAAAATAHAAAACjEyLzMxLzIwMTkIAAAACjEyLzMxLzIwMTkJAAAAATDQYtG13rfbCHGt/LXet9sINUNJUS5OQVNEQVFDTTpUT1JPLklRX0VCSVREQV9JTlQuMTAwMC4xMi8zMS8yMDIwLi4uVVNEAQAAAHl7NmwDAAAAAADQYtG13rfbCHGt/LXet9sIMUNJUS5OWVNFOkFHQ08uSVFfRUJJVERBX0lOVC4xMDAwLjEyLzMxLzIwMTMuLi5VU0QBAAAAT9gEAAIAAAAJMTQuNzIyMDgxAQgAAAAFAAAAATEBAAAACjE3NzgxODUwODgDAAAAAzE2MAIAAAAENDE5MAQAAAABMAcAAAAKMTIvMzEvMjAxMwgAAAAKMTIvMzEvMjAxMwkAAAABMNBi0bXet9sIca38td632wg1Q0lRLlNIU0U6NjAwMDMxLklRX1RPVEFMX0RFQlRfQ0FQSVRBTC4xMDAwLjEyLzMxLzIwMTcBAAAAL1BZAAIAAAAH</t>
  </si>
  <si>
    <t>MzIuNjg3MQEIAAAABQAAAAExAQAAAAoxOTUyNjIwMzg5AwAAAAIzMgIAAAAENDE4NgQAAAABMAcAAAAKMTIvMzEvMjAxNwgAAAAKMTIvMzEvMjAxNwkAAAABMNBi0bXet9sIca38td632wgyQ0lRLlRTRTo2MzI2LklRX1RPVEFMX0RFQlRfQ0FQSVRBTC4xMDAwLjEyLzMxLzIwMTQBAAAAGVcEAAIAAAAGMzYuOTgyAQgAAAAFAAAAATEBAAAACjE3ODI0NDYzNTUDAAAAAjc5AgAAAAQ0MTg2BAAAAAEwBwAAAAoxMi8zMS8yMDE0CAAAAAkzLzMxLzIwMTQJAAAAATDQYtG13rfbCHGt/LXet9sIMUNJUS5OWVNFOlRFWC5JUV9UT1RBTF9ERUJUX0VRVUlUWS4xMDAwLjEyLzMxLzIwMTgBAAAADrMEAAIAAAAIMTQxLjA4MDEBCAAAAAUAAAABMQEAAAAKMjA3OTk2NTEyNQMAAAADMTYwAgAAAAQ0MDM0BAAAAAEwBwAAAAoxMi8zMS8yMDE4CAAAAAoxMi8zMS8yMDE4CQAAAAEw0GLRtd632whxrfy13rfbCDZDSVEuTkFTREFRQ006VE9STy5JUV9UT1RBTF9ERUJUX0VRVUlUWS4xMDAwLjEyLzMxLzIwMjABAAAAeXs2bAMAAAAAANBi0bXet9sIca38td632wg1Q0lRLlRTRTo2NTAxLklRX05FVF9ERUJUX0VCSVREQS4xMDAwLjEyLzMxLzIwMTMuLi5VU0QBAAAAmy0CAAIAAAAIMi4xODQyMzYBCAAAAAUAAAABMQEAAAAKMTY4NTUyMTcyMgMAAAACNzkCAAAABDQxOTMEAAAAATAHAAAACjEyLzMxLzIwMTMIAAAACTMvMzEv</t>
  </si>
  <si>
    <t>MjAxMwkAAAABMNBi0bXet9sIca38td632wg2Q0lRLk5ZU0U6Q05ISS5JUV9ORVRfREVCVF9FQklUREEuMTAwMC4xMi8zMS8yMDE3Li4uVVNEAQAAAE5iGQYCAAAACDguNDY1OTQxAQgAAAAFAAAAATEBAAAACjIwMTkzMzM4OTgDAAAAAzE2MAIAAAAENDE5MwQAAAABMAcAAAAKMTIvMzEvMjAxNwgAAAAKMTIvMzEvMjAxNwkAAAABMNBi0bXet9sIca38td632wgwQ0lRLk5ZU0U6VEVYLklRX0VCSVREQV9JTlQuMTAwMC4xMi8zMS8yMDE4Li4uVVNEAQAAAA6zBAACAAAACDUuODA0OTQ1AQgAAAAFAAAAATEBAAAACjIwNzk5NjUxMjUDAAAAAzE2MAIAAAAENDE5MAQAAAABMAcAAAAKMTIvMzEvMjAxOAgAAAAKMTIvMzEvMjAxOAkAAAABMNBi0bXet9sIca38td632wg1Q0lRLk5BU0RBUUNNOlRPUk8uSVFfRUJJVERBX0lOVC4xMDAwLjEyLzMxLzIwMTkuLi5VU0QBAAAAeXs2bAMAAAAAANBi0bXet9sIca38td632wgyQ0lRLlRTRTo2MzI2LklRX1RPVEFMX0RFQlRfQ0FQSVRBTC4xMDAwLjEyLzMxLzIwMTMBAAAAGVcEAAIAAAAHMzcuNjE5NgEIAAAABQAAAAExAQAAAAoxNzQzNTY1NzI5AwAAAAI3OQIAAAAENDE4NgQAAAABMAcAAAAKMTIvMzEvMjAxMwgAAAAJMy8zMS8yMDEzCQAAAAEw0GLRtd632whxrfy13rfbCDFDSVEuTllTRTpURVguSVFfVE9UQUxfREVCVF9FUVVJVFkuMTAwMC4xMi8zMS8yMDE3AQAA</t>
  </si>
  <si>
    <t>AA6zBAACAAAABzgwLjU1NjIBCAAAAAUAAAABMQEAAAAKMjAxNDI3Njk1MgMAAAADMTYwAgAAAAQ0MDM0BAAAAAEwBwAAAAoxMi8zMS8yMDE3CAAAAAoxMi8zMS8yMDE3CQAAAAEw0GLRtd632whxrfy13rfbCDZDSVEuTkFTREFRQ006VE9STy5JUV9UT1RBTF9ERUJUX0VRVUlUWS4xMDAwLjEyLzMxLzIwMTcBAAAAeXs2bAMAAAAAANBi0bXet9sIca38td632wgyQ0lRLk5ZU0U6QUdDTy5JUV9UT1RBTF9ERUJUX0VRVUlUWS4xMDAwLjEyLzMxLzIwMTcBAAAAT9gEAAIAAAAHNTUuNTEzMQEIAAAABQAAAAExAQAAAAoyMDE4MzYwODIzAwAAAAMxNjACAAAABDQwMzQEAAAAATAHAAAACjEyLzMxLzIwMTcIAAAACjEyLzMxLzIwMTcJAAAAATDQYtG13rfbCHGt/LXet9sIMENJUS5OWVNFOlRFWC5JUV9FQklUREFfSU5ULjEwMDAuMTIvMzEvMjAxNy4uLlVTRAEAAAAOswQAAgAAAAg0LjQ1NTM1NwEIAAAABQAAAAExAQAAAAoyMDE0Mjc2OTUyAwAAAAMxNjACAAAABDQxOTAEAAAAATAHAAAACjEyLzMxLzIwMTcIAAAACjEyLzMxLzIwMTcJAAAAATDQYtG13rfbCHGt/LXet9sINUNJUS5OQVNEQVFDTTpUT1JPLklRX0VCSVREQV9JTlQuMTAwMC4xMi8zMS8yMDE1Li4uVVNEAQAAAHl7NmwDAAAAAADQYtG13rfbCHGt/LXet9sIM0NJUS5OWVNFOkNOSEkuSVFfVE9UQUxfREVCVF9DQVBJVEFMLjEwMDAuMTIvMzEvMjAx</t>
  </si>
  <si>
    <t>OQEAAABOYhkGAgAAAAc4MC40NDk2AQgAAAAFAAAAATEBAAAACy0yMTA5Nzg1ODMyAwAAAAMxNjACAAAABDQxODYEAAAAATAHAAAACjEyLzMxLzIwMTkIAAAACjEyLzMxLzIwMTkJAAAAATDQYtG13rfbCHGt/LXet9sIMkNJUS5OWVNFOkFHQ08uSVFfVE9UQUxfREVCVF9FUVVJVFkuMTAwMC4xMi8zMC8yMDE2AQAAAE/YBAACAAAABzQyLjkxMjYBCAAAAAUAAAABMQEAAAAKMTg3NjczNDU0MAMAAAADMTYwAgAAAAQ0MDM0BAAAAAEwBwAAAAoxMi8zMC8yMDE2CAAAAAoxMi8zMS8yMDE1CQAAAAEw0GLRtd632whxrfy13rfbCDhDSVEuU0hTRTo2MDAwMzEuSVFfTkVUX0RFQlRfRUJJVERBLjEwMDAuMTIvMzEvMjAxNS4uLlVTRAEAAAAvUFkAAgAAAAg2LjU4MTE3NAEIAAAABQAAAAExAQAAAAoxODM4NTM5MDU3AwAAAAIzMgIAAAAENDE5MwQAAAABMAcAAAAKMTIvMzEvMjAxNQgAAAAKMTIvMzEvMjAxNQkAAAABMNBi0bXet9sIca38td632wgwQ0lRLk5ZU0U6VEVYLklRX0VCSVREQV9JTlQuMTAwMC4xMi8zMC8yMDE2Li4uVVNEAQAAAA6zBAACAAAACDMuNzE2MDAzAQgAAAAFAAAAATEBAAAACjE4NzQ4MzI2NjMDAAAAAzE2MAIAAAAENDE5MAQAAAABMAcAAAAKMTIvMzAvMjAxNggAAAAKMTIvMzEvMjAxNQkAAAABMNBi0bXet9sIca38td632wgxQ0lRLk5ZU0U6REUuSVFfVE9UQUxfREVCVF9DQVBJVEFMLjEw</t>
  </si>
  <si>
    <t>MDAuMTIvMzEvMjAxNAEAAACADwQAAgAAAAc4MC4zMzcyAQgAAAAFAAAAATEBAAAACjE4MjI5Njg2ODUDAAAAAzE2MAIAAAAENDE4NgQAAAABMAcAAAAKMTIvMzEvMjAxNAgAAAAKMTAvMzEvMjAxNAkAAAABMNBi0bXet9sIca38td632wgxQ0lRLk5ZU0U6Q0FULklRX1RPVEFMX0RFQlRfRVFVSVRZLjEwMDAuMTIvMzEvMjAyMgEAAAAy9QMAAgAAAAgyMzYuNDM1NwEIAAAABQAAAAExAQAAAAstMjA2MDg4MTkzNwMAAAADMTYwAgAAAAQ0MDM0BAAAAAEwBwAAAAoxMi8zMS8yMDIyCAAAAAoxMi8zMS8yMDIyCQAAAAEw0GLRtd632whxrfy13rfbCDJDSVEuTllTRTpBR0NPLklRX1RPVEFMX0RFQlRfRVFVSVRZLjEwMDAuMTIvMzEvMjAxNQEAAABP2AQAAgAAAAc0Mi45MTI2AQgAAAAFAAAAATEBAAAACjE4NzY3MzQ1NDADAAAAAzE2MAIAAAAENDAzNAQAAAABMAcAAAAKMTIvMzEvMjAxNQgAAAAKMTIvMzEvMjAxNQkAAAABMNBi0bXet9sIca38td632wgzQ0lRLk5ZU0U6Q05ISS5JUV9UT1RBTF9ERUJUX0NBUElUQUwuMTAwMC4xMi8zMS8yMDE3AQAAAE5iGQYCAAAABzg1Ljg5MTMBCAAAAAUAAAABMQEAAAAKMjAxOTMzMzg5OAMAAAADMTYwAgAAAAQ0MTg2BAAAAAEwBwAAAAoxMi8zMS8yMDE3CAAAAAoxMi8zMS8yMDE3CQAAAAEw0GLRtd632whxrfy13rfbCDFDSVEuTllTRTpDQVQuSVFfVE9UQUxfREVCVF9F</t>
  </si>
  <si>
    <t>UVVJVFkuMTAwMC4xMi8zMS8yMDIxAQAAADL1AwACAAAACDIzMi42ODk1AQgAAAAFAAAAATEBAAAACy0yMDYwODgxOTQxAwAAAAMxNjACAAAABDQwMzQEAAAAATAHAAAACjEyLzMxLzIwMjEIAAAACjEyLzMxLzIwMjEJAAAAATDQYtG13rfbCHGt/LXet9sIMENJUS5UU0U6NjUwMS5JUV9FQklUREFfSU5ULjEwMDAuMTIvMzEvMjAyMi4uLlVTRAEAAACbLQIAAgAAAAk0NC42MTc3NzkBCAAAAAUAAAABMQEAAAALLTIwODg4MjE2NzEDAAAAAjc5AgAAAAQ0MTkwBAAAAAEwBwAAAAoxMi8zMS8yMDIyCAAAAAkzLzMxLzIwMjIJAAAAATDQYtG13rfbCHGt/LXet9sIMENJUS5OWVNFOkNBVC5JUV9FQklUREFfSU5ULjEwMDAuMTIvMzEvMjAyMS4uLlVTRAEAAAAy9QMAAgAAAAkyMi4zMDczNzcBCAAAAAUAAAABMQEAAAALLTIwNjA4ODE5NDEDAAAAAzE2MAIAAAAENDE5MAQAAAABMAcAAAAKMTIvMzEvMjAyMQgAAAAKMTIvMzEvMjAyMQkAAAABMNBi0bXet9sIca38td632wgzQ0lRLk5ZU0U6Q05ISS5JUV9UT1RBTF9ERUJUX0NBUElUQUwuMTAwMC4xMi8zMC8yMDE2AQAAAE5iGQYCAAAABzg0LjQwMDgBCAAAAAUAAAABMQEAAAAKMTg3NzYwNTAyNwMAAAADMTYwAgAAAAQ0MTg2BAAAAAEwBwAAAAoxMi8zMC8yMDE2CAAAAAoxMi8zMS8yMDE1CQAAAAEw0GLRtd632whxrfy13rfbCDFDSVEuVFNFOjY1MDEuSVFfVE9U</t>
  </si>
  <si>
    <t>QUxfREVCVF9FUVVJVFkuMTAwMC4xMi8zMS8yMDE1AQAAAJstAgACAAAABzgyLjkxNDUBCAAAAAUAAAABMQEAAAAKMTc0NTI3MDY3MgMAAAACNzkCAAAABDQwMzQEAAAAATAHAAAACjEyLzMxLzIwMTUIAAAACTMvMzEvMjAxNQkAAAABMNBi0bXet9sIca38td632wgxQ0lRLk5ZU0U6Q0FULklRX1RPVEFMX0RFQlRfRVFVSVRZLjEwMDAuMTIvMzEvMjAyMAEAAAAy9QMAAgAAAAgyNDUuNzI3NgEIAAAABQAAAAExAQAAAAstMjA2MDg4MTkzNgMAAAADMTYwAgAAAAQ0MDM0BAAAAAEwBwAAAAoxMi8zMS8yMDIwCAAAAAoxMi8zMS8yMDIwCQAAAAEw0GLRtd632whxrfy13rfbCDJDSVEuTllTRTpBR0NPLklRX1RPVEFMX0RFQlRfRVFVSVRZLjEwMDAuMTIvMzEvMjAxMwEAAABP2AQAAgAAAAczMC45MDg4AQgAAAAFAAAAATEBAAAACjE3NzgxODUwODgDAAAAAzE2MAIAAAAENDAzNAQAAAABMAcAAAAKMTIvMzEvMjAxMwgAAAAKMTIvMzEvMjAxMwkAAAABMNBi0bXet9sIca38td632wgwQ0lRLlRTRTo2NTAxLklRX0VCSVREQV9JTlQuMTAwMC4xMi8zMS8yMDIxLi4uVVNEAQAAAJstAgACAAAACTQwLjQ2Njg5NwEIAAAABQAAAAExAQAAAAstMjA4ODgyMTY0OQMAAAACNzkCAAAABDQxOTAEAAAAATAHAAAACjEyLzMxLzIwMjEIAAAACTMvMzEvMjAyMQkAAAABMNBi0bXet9sIca38td632wgwQ0lRLk5TRUk6TSZNLklR</t>
  </si>
  <si>
    <t>X0VCSVREQV9JTlQuMTAwMC4xMi8zMS8yMDIyLi4uVVNEAQAAAEJnDQACAAAACDIuOTU1NDE0AQgAAAAFAAAAATEBAAAACy0yMDM5MDgyNzg0AwAAAAI3MgIAAAAENDE5MAQAAAABMAcAAAAKMTIvMzEvMjAyMggAAAAJMy8zMS8yMDIyCQAAAAEw0GLRtd632whxrfy13rfbCDpDSVEuTkFTREFRQ006VE9STy5JUV9ORVRfREVCVF9FQklUREEuMTAwMC4xMi8zMS8yMDE5Li4uVVNEAQAAAHl7NmwDAAAAAADQYtG13rfbCHGt/LXet9sIMENJUS5OWVNFOkNBVC5JUV9FQklUREFfSU5ULjEwMDAuMTIvMzEvMjAxOS4uLlVTRAEAAAAy9QMAAgAAAAkyNi4wNzgzODQBCAAAAAUAAAABMQEAAAALLTIxMTIxNTcxNTkDAAAAAzE2MAIAAAAENDE5MAQAAAABMAcAAAAKMTIvMzEvMjAxOQgAAAAKMTIvMzEvMjAxOQkAAAABMNBi0bXet9sIca38td632wg3Q0lRLk5BU0RBUUNNOlRPUk8uSVFfVE9UQUxfREVCVF9DQVBJVEFMLjEwMDAuMTIvMzEvMjAyMQEAAAB5ezZsAgAAAAcxMy4zMjk2AQgAAAAFAAAAATEBAAAACy0yMDMzMzQ2ODM5AwAAAAMxNjACAAAABDQxODYEAAAAATAHAAAACjEyLzMxLzIwMjEIAAAACjEyLzMxLzIwMjEJAAAAATDQYtG13rfbCHGt/LXet9sIMUNJUS5UU0U6NjUwMS5JUV9UT1RBTF9ERUJUX0VRVUlUWS4xMDAwLjEyLzMxLzIwMTMBAAAAmy0CAAIAAAAHNzQuNjM3MwEIAAAABQAAAAExAQAAAAox</t>
  </si>
  <si>
    <t>Njg1NTIxNzIyAwAAAAI3OQIAAAAENDAzNAQAAAABMAcAAAAKMTIvMzEvMjAxMwgAAAAJMy8zMS8yMDEzCQAAAAEw0GLRtd632whxrfy13rfbCDFDSVEuTlNFSTpNJk0uSVFfVE9UQUxfREVCVF9FUVVJVFkuMTAwMC4xMi8zMS8yMDIyAQAAAEJnDQACAAAACDEzNi45ODU1AQgAAAAFAAAAATEBAAAACy0yMDM5MDgyNzg0AwAAAAI3MgIAAAAENDAzNAQAAAABMAcAAAAKMTIvMzEvMjAyMggAAAAJMy8zMS8yMDIyCQAAAAEw0GLRtd632whxrfy13rfbCDVDSVEuTllTRTpURVguSVFfTkVUX0RFQlRfRUJJVERBLjEwMDAuMTIvMzEvMjAyMS4uLlVTRAEAAAAOswQAAgAAAAgxLjE4NDMzNQEIAAAABQAAAAExAQAAAAstMjA2MTYzMTYyOQMAAAADMTYwAgAAAAQ0MTkzBAAAAAEwBwAAAAoxMi8zMS8yMDIxCAAAAAoxMi8zMS8yMDIxCQAAAAEw0GLRtd632whxrfy13rfbCDBDSVEuVFNFOjY1MDEuSVFfRUJJVERBX0lOVC4xMDAwLjEyLzMxLzIwMTQuLi5VU0QBAAAAmy0CAAIAAAAJMzYuMzUzMDYzAQgAAAAFAAAAATEBAAAACjE3NDUyNzA1NDQDAAAAAjc5AgAAAAQ0MTkwBAAAAAEwBwAAAAoxMi8zMS8yMDE0CAAAAAkzLzMxLzIwMTQJAAAAATDQYtG13rfbCHGt/LXet9sIMENJUS5OWVNFOkNBVC5JUV9FQklUREFfSU5ULjEwMDAuMTIvMzEvMjAxOC4uLlVTRAEAAAAy9QMAAgAAAAkyNy40ODAxOTgBCAAAAAUAAAAB</t>
  </si>
  <si>
    <t>MQEAAAAKMjA4MDY0ODE0MwMAAAADMTYwAgAAAAQ0MTkwBAAAAAEwBwAAAAoxMi8zMS8yMDE4CAAAAAoxMi8zMS8yMDE4CQAAAAEw0GLRtd632whxrfy13rfbCDNDSVEuTllTRTpBR0NPLklRX1RPVEFMX0RFQlRfQ0FQSVRBTC4xMDAwLjEyLzMxLzIwMjIBAAAAT9gEAAIAAAAGMjkuNjI2AQgAAAAFAAAAATEBAAAACy0yMDU5MDEyNjA3AwAAAAMxNjACAAAABDQxODYEAAAAATAHAAAACjEyLzMxLzIwMjIIAAAACjEyLzMxLzIwMjIJAAAAATDQYtG13rfbCHGt/LXet9sIMUNJUS5OWVNFOkNBVC5JUV9UT1RBTF9ERUJUX0VRVUlUWS4xMDAwLjEyLzMxLzIwMTUBAAAAMvUDAAIAAAAIMjU1LjQwNDcBCAAAAAUAAAABMQEAAAAKMTg3NDUyNDQ1MwMAAAADMTYwAgAAAAQ0MDM0BAAAAAEwBwAAAAoxMi8zMS8yMDE1CAAAAAoxMi8zMS8yMDE1CQAAAAEw0GLRtd632whxrfy13rfbCDVDSVEuTllTRTpURVguSVFfTkVUX0RFQlRfRUJJVERBLjEwMDAuMTIvMzEvMjAyMC4uLlVTRAEAAAAOswQAAgAAAAgzLjc4MjMxNwEIAAAABQAAAAExAQAAAAstMjA2MTYzMTYzOAMAAAADMTYwAgAAAAQ0MTkzBAAAAAEwBwAAAAoxMi8zMS8yMDIwCAAAAAoxMi8zMS8yMDIwCQAAAAEw0GLRtd632whxrfy13rfbCDBDSVEuTllTRTpDQVQuSVFfRUJJVERBX0lOVC4xMDAwLjEyLzMxLzIwMTQuLi5VU0QBAAAAMvUDAAIAAAAJMTQuMzE2</t>
  </si>
  <si>
    <t>MTE1AQgAAAAFAAAAATEBAAAACjE4Mjc4NjkxNjUDAAAAAzE2MAIAAAAENDE5MAQAAAABMAcAAAAKMTIvMzEvMjAxNAgAAAAKMTIvMzEvMjAxNAkAAAABMNBi0bXet9sIca38td632wg0Q0lRLlNIU0U6NjAwMDMxLklRX1RPVEFMX0RFQlRfRVFVSVRZLjEwMDAuMTIvMzEvMjAyMgEAAAAvUFkAAgAAAAY2MS41OTQBCAAAAAUAAAABMQEAAAALLTIwNTI1NTk0NzQDAAAAAjMyAgAAAAQ0MDM0BAAAAAEwBwAAAAoxMi8zMS8yMDIyCAAAAAoxMi8zMS8yMDIyCQAAAAEw0GLRtd632whxrfy13rfbCDFDSVEuVFNFOjYzMjYuSVFfVE9UQUxfREVCVF9FUVVJVFkuMTAwMC4xMi8zMS8yMDIyAQAAABlXBAACAAAABzc3LjU1NjUBCAAAAAUAAAABMQEAAAALLTIwNTU2MTY0MzQDAAAAAjc5AgAAAAQ0MDM0BAAAAAEwBwAAAAoxMi8zMS8yMDIyCAAAAAoxMi8zMS8yMDIyCQAAAAEw0GLRtd632whxrfy13rfbCDVDSVEuTllTRTpURVguSVFfTkVUX0RFQlRfRUJJVERBLjEwMDAuMTIvMzEvMjAxOS4uLlVTRAEAAAAOswQAAgAAAAgxLjc5MjY1NAEIAAAABQAAAAExAQAAAAstMjExMjYxMzI0NQMAAAADMTYwAgAAAAQ0MTkzBAAAAAEwBwAAAAoxMi8zMS8yMDE5CAAAAAoxMi8zMS8yMDE5CQAAAAEw0GLRtd632whxrfy13rfbCDdDSVEuTkFTREFRQ006VE9STy5JUV9UT1RBTF9ERUJUX0NBUElUQUwuMTAwMC4xMi8zMS8yMDE4</t>
  </si>
  <si>
    <t>AQAAAHl7NmwDAAAAAADQYtG13rfbCHGt/LXet9sIMUNJUS5UU0U6NjMyNi5JUV9UT1RBTF9ERUJUX0VRVUlUWS4xMDAwLjEyLzMxLzIwMjEBAAAAGVcEAAIAAAAHNjMuOTc2OQEIAAAABQAAAAExAQAAAAstMjEwNzcxNDAxNAMAAAACNzkCAAAABDQwMzQEAAAAATAHAAAACjEyLzMxLzIwMjEIAAAACjEyLzMxLzIwMjEJAAAAATDQYtG13rfbCHGt/LXet9sIMENJUS5UU0U6NjMyNi5JUV9FQklUREFfSU5ULjEwMDAuMTIvMzEvMjAxOS4uLlVTRAEAAAAZVwQAAgAAAAoyNTAuMDIwODUzAQgAAAAFAAAAATEBAAAACjIwODUyODgyMDEDAAAAAjc5AgAAAAQ0MTkwBAAAAAEwBwAAAAoxMi8zMS8yMDE5CAAAAAoxMi8zMS8yMDE5CQAAAAEw0GLRtd632whxrfy13rfbCDVDSVEuTllTRTpURVguSVFfTkVUX0RFQlRfRUJJVERBLjEwMDAuMTIvMzEvMjAxNy4uLlVTRAEAAAAOswQAAgAAAAgxLjE5NjcyNgEIAAAABQAAAAExAQAAAAoyMDE0Mjc2OTUyAwAAAAMxNjACAAAABDQxOTMEAAAAATAHAAAACjEyLzMxLzIwMTcIAAAACjEyLzMxLzIwMTcJAAAAATDQYtG13rfbCHGt/LXet9sIM0NJUS5TSFNFOjYwMDAzMS5JUV9FQklUREFfSU5ULjEwMDAuMTIvMzEvMjAyMS4uLlVTRAEAAAAvUFkAAgAAAAkyNi4xOTQyNTYBCAAAAAUAAAABMQEAAAALLTIwNTI1NTk0NzYDAAAAAjMyAgAAAAQ0MTkwBAAAAAEwBwAAAAoxMi8z</t>
  </si>
  <si>
    <t>MS8yMDIxCAAAAAoxMi8zMS8yMDIxCQAAAAEw0GLRtd632whxrfy13rfbCDNDSVEuU0hTRTo2MDAwMzEuSVFfRUJJVERBX0lOVC4xMDAwLjEyLzMxLzIwMjAuLi5VU0QBAAAAL1BZAAIAAAAJMjYuMDA4Nzk5AQgAAAAFAAAAATEBAAAACy0yMTAyMDgxMDE3AwAAAAIzMgIAAAAENDE5MAQAAAABMAcAAAAKMTIvMzEvMjAyMAgAAAAKMTIvMzEvMjAyMAkAAAABMNBi0bXet9sIca38td632wgyQ0lRLk5ZU0U6Q0FULklRX1RPVEFMX0RFQlRfQ0FQSVRBTC4xMDAwLjEyLzMxLzIwMjEBAAAAMvUDAAIAAAAHNjkuOTQxOQEIAAAABQAAAAExAQAAAAstMjA2MDg4MTk0MQMAAAADMTYwAgAAAAQ0MTg2BAAAAAEwBwAAAAoxMi8zMS8yMDIxCAAAAAoxMi8zMS8yMDIxCQAAAAEw0GLRtd632whxrfy13rfbCDVDSVEuTllTRTpURVguSVFfTkVUX0RFQlRfRUJJVERBLjEwMDAuMTIvMzEvMjAxNS4uLlVTRAEAAAAOswQAAgAAAAgzLjU0OTE2NgEIAAAABQAAAAExAQAAAAoxODc0ODMyNjYzAwAAAAMxNjACAAAABDQxOTMEAAAAATAHAAAACjEyLzMxLzIwMTUIAAAACjEyLzMxLzIwMTUJAAAAATDQYtG13rfbCHGt/LXet9sIMkNJUS5OU0VJOk0mTS5JUV9UT1RBTF9ERUJUX0NBUElUQUwuMTAwMC4xMi8zMS8yMDIyAQAAAEJnDQACAAAABzU3LjgwMzMBCAAAAAUAAAABMQEAAAALLTIwMzkwODI3ODQDAAAAAjcyAgAAAAQ0MTg2</t>
  </si>
  <si>
    <t>BAAAAAEwBwAAAAoxMi8zMS8yMDIyCAAAAAkzLzMxLzIwMjIJAAAAATDQYtG13rfbCHGt/LXet9sINUNJUS5UU0U6NjMyNi5JUV9ORVRfREVCVF9FQklUREEuMTAwMC4xMi8zMS8yMDE5Li4uVVNEAQAAABlXBAACAAAACDIuNTQ4MjU3AQgAAAAFAAAAATEBAAAACjIwODUyODgyMDEDAAAAAjc5AgAAAAQ0MTkzBAAAAAEwBwAAAAoxMi8zMS8yMDE5CAAAAAoxMi8zMS8yMDE5CQAAAAEw0GLRtd632whxrfy13rfbCDVDSVEuVFNFOjYzMjYuSVFfTkVUX0RFQlRfRUJJVERBLjEwMDAuMTIvMzEvMjAxOC4uLlVTRAEAAAAZVwQAAgAAAAgyLjMxNjQ5MwEIAAAABQAAAAExAQAAAAoyMDIzMDU2MDk3AwAAAAI3OQIAAAAENDE5MwQAAAABMAcAAAAKMTIvMzEvMjAxOAgAAAAKMTIvMzEvMjAxOAkAAAABMNBi0bXet9sIca38td632wgyQ0lRLk5ZU0U6Q0FULklRX1RPVEFMX0RFQlRfQ0FQSVRBTC4xMDAwLjEyLzMxLzIwMTcBAAAAMvUDAAIAAAAHNzEuNzAxNgEIAAAABQAAAAExAQAAAAoyMDE1ODY5MjE3AwAAAAMxNjACAAAABDQxODYEAAAAATAHAAAACjEyLzMxLzIwMTcIAAAACjEyLzMxLzIwMTcJAAAAATDQYtG13rfbCHGt/LXet9sIMUNJUS5UU0U6NjMyNi5JUV9UT1RBTF9ERUJUX0VRVUlUWS4xMDAwLjEyLzMxLzIwMTQBAAAAGVcEAAIAAAAHNTguNjg0OAEIAAAABQAAAAExAQAAAAoxNzgyNDQ2MzU1AwAAAAI3</t>
  </si>
  <si>
    <t>OQIAAAAENDAzNAQAAAABMAcAAAAKMTIvMzEvMjAxNAgAAAAJMy8zMS8yMDE0CQAAAAEw0GLRtd632whxrfy13rfbCDdDSVEuTkFTREFRQ006VE9STy5JUV9UT1RBTF9ERUJUX0NBUElUQUwuMTAwMC4xMi8zMS8yMDE5AQAAAHl7NmwDAAAAAADQYtG13rfbCHGt/LXet9sIMUNJUS5OWVNFOkNBVC5JUV9UT1RBTF9ERUJUX0VRVUlUWS4xMDAwLjEyLzMxLzIwMTMBAAAAMvUDAAIAAAAHMTgwLjg0MQEIAAAABQAAAAExAQAAAAoxNzc2NDQyMTAyAwAAAAMxNjACAAAABDQwMzQEAAAAATAHAAAACjEyLzMxLzIwMTMIAAAACjEyLzMxLzIwMTMJAAAAATDQYtG13rfbCHGt/LXet9sINUNJUS5OWVNFOlRFWC5JUV9ORVRfREVCVF9FQklUREEuMTAwMC4xMi8zMS8yMDE4Li4uVVNEAQAAAA6zBAACAAAACDIuMDcwOTg5AQgAAAAFAAAAATEBAAAACjIwNzk5NjUxMjUDAAAAAzE2MAIAAAAENDE5MwQAAAABMAcAAAAKMTIvMzEvMjAxOAgAAAAKMTIvMzEvMjAxOAkAAAABMNBi0bXet9sIca38td632wg0Q0lRLlNIU0U6NjAwMDMxLklRX1RPVEFMX0RFQlRfRVFVSVRZLjEwMDAuMTIvMzEvMjAyMAEAAAAvUFkAAgAAAAczMi4yMDA1AQgAAAAFAAAAATEBAAAACy0yMTAyMDgxMDE3AwAAAAIzMgIAAAAENDAzNAQAAAABMAcAAAAKMTIvMzEvMjAyMAgAAAAKMTIvMzEvMjAyMAkAAAABMNBi0bXet9sIca38td632wgyQ0lRLk5Z</t>
  </si>
  <si>
    <t>U0U6VEVYLklRX1RPVEFMX0RFQlRfQ0FQSVRBTC4xMDAwLjEyLzMxLzIwMTUBAAAADrMEAAIAAAAHNDguNDQ4MwEIAAAABQAAAAExAQAAAAoxODc0ODMyNjYzAwAAAAMxNjACAAAABDQxODYEAAAAATAHAAAACjEyLzMxLzIwMTUIAAAACjEyLzMxLzIwMTUJAAAAATDQYtG13rfbCHGt/LXet9sINUNJUS5OU0VJOk0mTS5JUV9ORVRfREVCVF9FQklUREEuMTAwMC4xMi8zMS8yMDIxLi4uVVNEAQAAAEJnDQACAAAACDQuMjM0ODQ1AQgAAAAFAAAAATEBAAAACy0yMDg5NzQ0MDIwAwAAAAI3MgIAAAAENDE5MwQAAAABMAcAAAAKMTIvMzEvMjAyMQgAAAAJMy8zMS8yMDIxCQAAAAEw0GLRtd632whxrfy13rfbCDFDSVEuVFNFOjYzMjYuSVFfVE9UQUxfREVCVF9FUVVJVFkuMTAwMC4xMi8zMS8yMDE4AQAAABlXBAACAAAABzU4Ljk3MzgBCAAAAAUAAAABMQEAAAAKMjAyMzA1NjA5NwMAAAACNzkCAAAABDQwMzQEAAAAATAHAAAACjEyLzMxLzIwMTgIAAAACjEyLzMxLzIwMTgJAAAAATDQYtG13rfbCHGt/LXet9sIMENJUS5UU0U6NjMyNi5JUV9FQklUREFfSU5ULjEwMDAuMTIvMzEvMjAxMy4uLlVTRAEAAAAZVwQAAgAAAAoxMTQuMzc4MTk1AQgAAAAFAAAAATEBAAAACjE3NDM1NjU3MjkDAAAAAjc5AgAAAAQ0MTkwBAAAAAEwBwAAAAoxMi8zMS8yMDEzCAAAAAkzLzMxLzIwMTMJAAAAATDQYtG13rfbCHGt/LXet9sI</t>
  </si>
  <si>
    <t>MUNJUS5UU0U6NjMyNi5JUV9UT1RBTF9ERUJUX0VRVUlUWS4xMDAwLjEyLzMxLzIwMTcBAAAAGVcEAAIAAAAHNjAuNjA2NAEIAAAABQAAAAExAQAAAAoxODc5NTk0OTQyAwAAAAI3OQIAAAAENDAzNAQAAAABMAcAAAAKMTIvMzEvMjAxNwgAAAAKMTIvMzEvMjAxNwkAAAABMNBi0bXet9sIca38td632wgyQ0lRLk5ZU0U6Q0FULklRX1RPVEFMX0RFQlRfQ0FQSVRBTC4xMDAwLjEyLzMxLzIwMTkBAAAAMvUDAAIAAAAHNzIuMzY5NAEIAAAABQAAAAExAQAAAAstMjExMjE1NzE1OQMAAAADMTYwAgAAAAQ0MTg2BAAAAAEwBwAAAAoxMi8zMS8yMDE5CAAAAAoxMi8zMS8yMDE5CQAAAAEw0GLRtd632whxrfy13rfbCDFDSVEuVFNFOjYzMjYuSVFfVE9UQUxfREVCVF9FUVVJVFkuMTAwMC4xMi8zMC8yMDE2AQAAABlXBAACAAAABzYzLjA4NjQBCAAAAAUAAAABMQEAAAAKMTg3OTU5NDk0OAMAAAACNzkCAAAABDQwMzQEAAAAATAHAAAACjEyLzMwLzIwMTYIAAAACjEyLzMxLzIwMTUJAAAAATDQYtG13rfbCHGt/LXet9sINUNJUS5OWVNFOlRFWC5JUV9ORVRfREVCVF9FQklUREEuMTAwMC4xMi8zMS8yMDEzLi4uVVNEAQAAAA6zBAACAAAACDIuNjY5MDQ4AQgAAAAFAAAAATEBAAAACjE3NzcyNzk2MTMDAAAAAzE2MAIAAAAENDE5MwQAAAABMAcAAAAKMTIvMzEvMjAxMwgAAAAKMTIvMzEvMjAxMwkAAAABMNBi0bXet9sI</t>
  </si>
  <si>
    <t>ca38td632wgxQ0lRLlRTRTo2MzI2LklRX1RPVEFMX0RFQlRfRVFVSVRZLjEwMDAuMTIvMzEvMjAxNQEAAAAZVwQAAgAAAAc2My4wODY0AQgAAAAFAAAAATEBAAAACjE4Nzk1OTQ5NDgDAAAAAjc5AgAAAAQ0MDM0BAAAAAEwBwAAAAoxMi8zMS8yMDE1CAAAAAoxMi8zMS8yMDE1CQAAAAEw0GLRtd632whxrfy13rfbCDJDSVEuTllTRTpURVguSVFfVE9UQUxfREVCVF9DQVBJVEFMLjEwMDAuMTIvMzEvMjAxNwEAAAAOswQAAgAAAAc0NC42MTU1AQgAAAAFAAAAATEBAAAACjIwMTQyNzY5NTIDAAAAAzE2MAIAAAAENDE4NgQAAAABMAcAAAAKMTIvMzEvMjAxNwgAAAAKMTIvMzEvMjAxNwkAAAABMNBi0bXet9sIca38td632wg3Q0lRLk5BU0RBUUNNOlRPUk8uSVFfVE9UQUxfREVCVF9DQVBJVEFMLjEwMDAuMTIvMzEvMjAxNAEAAAB5ezZsAwAAAAAA0GLRtd632whxrfy13rfbCDBDSVEuVFNFOjYzMjYuSVFfRUJJVERBX0lOVC4xMDAwLjEyLzMxLzIwMTguLi5VU0QBAAAAGVcEAAIAAAAKMjMxLjcyNTY5NwEIAAAABQAAAAExAQAAAAoyMDIzMDU2MDk3AwAAAAI3OQIAAAAENDE5MAQAAAABMAcAAAAKMTIvMzEvMjAxOAgAAAAKMTIvMzEvMjAxOAkAAAABMNBi0bXet9sIca38td632wgxQ0lRLlRTRTo2MzI2LklRX1RPVEFMX0RFQlRfRVFVSVRZLjEwMDAuMTIvMzEvMjAxOQEAAAAZVwQAAgAAAAc2MS4zOTYyAQgA</t>
  </si>
  <si>
    <t>AAAFAAAAATEBAAAACjIwODUyODgyMDEDAAAAAjc5AgAAAAQ0MDM0BAAAAAEwBwAAAAoxMi8zMS8yMDE5CAAAAAoxMi8zMS8yMDE5CQAAAAEw0GLRtd632whxrfy13rfbCDVDSVEuTlNFSTpNJk0uSVFfTkVUX0RFQlRfRUJJVERBLjEwMDAuMTIvMzEvMjAyMC4uLlVTRAEAAABCZw0AAgAAAAg0LjgwNjcxNAEIAAAABQAAAAExAQAAAAstMjE0MzgyMzE3NQMAAAACNzICAAAABDQxOTMEAAAAATAHAAAACjEyLzMxLzIwMjAIAAAACTMvMzEvMjAyMAkAAAABMNBi0bXet9sIca38td632wgyQ0lRLk5ZU0U6Q0FULklRX1RPVEFMX0RFQlRfQ0FQSVRBTC4xMDAwLjEyLzMxLzIwMjABAAAAMvUDAAIAAAAHNzEuMDc1NAEIAAAABQAAAAExAQAAAAstMjA2MDg4MTkzNgMAAAADMTYwAgAAAAQ0MTg2BAAAAAEwBwAAAAoxMi8zMS8yMDIwCAAAAAoxMi8zMS8yMDIwCQAAAAEw0GLRtd632whxrfy13rfbCDJDSVEuTlNFSTpNJk0uSVFfVE9UQUxfREVCVF9DQVBJVEFMLjEwMDAuMTIvMzEvMjAyMQEAAABCZw0AAgAAAAY2MS40OTMBCAAAAAUAAAABMQEAAAALLTIwODk3NDQwMjADAAAAAjcyAgAAAAQ0MTg2BAAAAAEwBwAAAAoxMi8zMS8yMDIxCAAAAAkzLzMxLzIwMjEJAAAAATDQYtG13rfbCHGt/LXet9sIMkNJUS5OWVNFOkNBVC5JUV9UT1RBTF9ERUJUX0NBUElUQUwuMTAwMC4xMi8zMS8yMDE4AQAAADL1AwACAAAABzcy</t>
  </si>
  <si>
    <t>LjIxMzkBCAAAAAUAAAABMQEAAAAKMjA4MDY0ODE0MwMAAAADMTYwAgAAAAQ0MTg2BAAAAAEwBwAAAAoxMi8zMS8yMDE4CAAAAAoxMi8zMS8yMDE4CQAAAAEw0GLRtd632whxrfy13rfbCDBDSVEuVFNFOjY1MDEuSVFfRUJJVERBX0lOVC4xMDAwLjEyLzMxLzIwMTMuLi5VU0QBAAAAmy0CAAIAAAAJMzEuNDU0MTg4AQgAAAAFAAAAATEBAAAACjE2ODU1MjE3MjIDAAAAAjc5AgAAAAQ0MTkwBAAAAAEwBwAAAAoxMi8zMS8yMDEzCAAAAAkzLzMxLzIwMTMJAAAAATDQYtG13rfbCHGt/LXet9sINENJUS5TSFNFOjYwMDAzMS5JUV9UT1RBTF9ERUJUX0VRVUlUWS4xMDAwLjEyLzMxLzIwMjEBAAAAL1BZAAIAAAAHMzkuNzgxMwEIAAAABQAAAAExAQAAAAstMjA1MjU1OTQ3NgMAAAACMzICAAAABDQwMzQEAAAAATAHAAAACjEyLzMxLzIwMjEIAAAACjEyLzMxLzIwMjEJAAAAATDQYtG13rfbCHGt/LXet9sIMkNJUS5OWVNFOlRFWC5JUV9UT1RBTF9ERUJUX0NBUElUQUwuMTAwMC4xMi8zMC8yMDE2AQAAAA6zBAACAAAABzQ4LjQ0ODMBCAAAAAUAAAABMQEAAAAKMTg3NDgzMjY2MwMAAAADMTYwAgAAAAQ0MTg2BAAAAAEwBwAAAAoxMi8zMC8yMDE2CAAAAAoxMi8zMS8yMDE1CQAAAAEw0GLRtd632whxrfy13rfbCDdDSVEuTkFTREFRQ006VE9STy5JUV9UT1RBTF9ERUJUX0NBUElUQUwuMTAwMC4xMi8zMS8yMDEzAQAA</t>
  </si>
  <si>
    <t>AHl7NmwDAAAAAADQYtG13rfbCHGt/LXet9sIMENJUS5UU0U6NjMyNi5JUV9FQklUREFfSU5ULjEwMDAuMTIvMzEvMjAxNy4uLlVTRAEAAAAZVwQAAgAAAAkyNS4zNjQ2NTIBCAAAAAUAAAABMQEAAAAKMTg3OTU5NDk0MgMAAAACNzkCAAAABDQxOTAEAAAAATAHAAAACjEyLzMxLzIwMTcIAAAACjEyLzMxLzIwMTcJAAAAATDQYtG13rfbCHGt/LXet9sINENJUS5TSFNFOjYwMDAzMS5JUV9UT1RBTF9ERUJUX0VRVUlUWS4xMDAwLjEyLzMxLzIwMTQBAAAAL1BZAAIAAAAIMTAxLjI2MzYBCAAAAAUAAAABMQEAAAAKMTc4OTAwODEzOAMAAAACMzICAAAABDQwMzQEAAAAATAHAAAACjEyLzMxLzIwMTQIAAAACjEyLzMxLzIwMTQJAAAAATDQYtG13rfbCHGt/LXet9sIM0NJUS5TSFNFOjYwMDAzMS5JUV9FQklUREFfSU5ULjEwMDAuMTIvMzEvMjAxOC4uLlVTRAEAAAAvUFkAAgAAAAkxNi44Mjg0NjIBCAAAAAUAAAABMQEAAAAKMjAzMDEyODIyOQMAAAACMzICAAAABDQxOTAEAAAAATAHAAAACjEyLzMxLzIwMTgIAAAACjEyLzMxLzIwMTgJAAAAATDQYtG13rfbCHGt/LXet9sIM0NJUS5TSFNFOjYwMDAzMS5JUV9FQklUREFfSU5ULjEwMDAuMTIvMzEvMjAxMy4uLlVTRAEAAAAvUFkAAgAAAAg0Ljg1MDczOQEIAAAABQAAAAExAQAAAAoxNzI5NTQ1Njc2AwAAAAIzMgIAAAAENDE5MAQAAAABMAcAAAAKMTIvMzEvMjAx</t>
  </si>
  <si>
    <t>MwgAAAAKMTIvMzEvMjAxMwkAAAABMNBi0bXet9sIca38td632wgyQ0lRLk5TRUk6TSZNLklRX1RPVEFMX0RFQlRfQ0FQSVRBTC4xMDAwLjEyLzMxLzIwMjABAAAAQmcNAAIAAAAHNjMuNDAxOAEIAAAABQAAAAExAQAAAAstMjE0MzgyMzE3NQMAAAACNzICAAAABDQxODYEAAAAATAHAAAACjEyLzMxLzIwMjAIAAAACTMvMzEvMjAyMAkAAAABMNBi0bXet9sIca38td632wg1Q0lRLlRTRTo2MzI2LklRX05FVF9ERUJUX0VCSVREQS4xMDAwLjEyLzMxLzIwMTcuLi5VU0QBAAAAGVcEAAIAAAAIMi40Nzg5OTgBCAAAAAUAAAABMQEAAAAKMTg3OTU5NDk0MgMAAAACNzkCAAAABDQxOTMEAAAAATAHAAAACjEyLzMxLzIwMTcIAAAACjEyLzMxLzIwMTcJAAAAATDQYtG13rfbCHGt/LXet9sIMkNJUS5UU0U6NjMyNi5JUV9UT1RBTF9ERUJUX0NBUElUQUwuMTAwMC4xMi8zMS8yMDIxAQAAABlXBAACAAAABzM5LjAxNTgBCAAAAAUAAAABMQEAAAALLTIxMDc3MTQwMTQDAAAAAjc5AgAAAAQ0MTg2BAAAAAEwBwAAAAoxMi8zMS8yMDIxCAAAAAoxMi8zMS8yMDIxCQAAAAEw0GLRtd632whxrfy13rfbCDhDSVEuU0hTRTo2MDAwMzEuSVFfTkVUX0RFQlRfRUJJVERBLjEwMDAuMTIvMzAvMjAxNi4uLlVTRAEAAAAvUFkAAgAAAAg2LjU4MTE3NAEIAAAABQAAAAExAQAAAAoxODM4NTM5MDU3AwAAAAIzMgIAAAAENDE5MwQAAAAB</t>
  </si>
  <si>
    <t>MAcAAAAKMTIvMzAvMjAxNggAAAAKMTIvMzEvMjAxNQkAAAABMNBi0bXet9sIca38td632wg2Q0lRLk5BU0RBUUNNOlRPUk8uSVFfVE9UQUxfREVCVF9FUVVJVFkuMTAwMC4xMi8zMC8yMDE2AQAAAHl7NmwDAAAAAADQYtG13rfbCHGt/LXet9sINUNJUS5OQVNEQVFDTTpUT1JPLklRX0VCSVREQV9JTlQuMTAwMC4xMi8zMS8yMDE0Li4uVVNEAQAAAHl7NmwDAAAAAADQYtG13rfbCHGt/LXet9sIM0NJUS5OWVNFOkNOSEkuSVFfVE9UQUxfREVCVF9DQVBJVEFMLjEwMDAuMTIvMzEvMjAxOAEAAABOYhkGAgAAAAc4Mi43NjA3AQgAAAAFAAAAATEBAAAACjIwODI5NDcxNzADAAAAAzE2MAIAAAAENDE4NgQAAAABMAcAAAAKMTIvMzEvMjAxOAgAAAAKMTIvMzEvMjAxOAkAAAABMNBi0bXet9sIca38td632wgxQ0lRLlRTRTo2NTAxLklRX1RPVEFMX0RFQlRfRVFVSVRZLjEwMDAuMTIvMzEvMjAyMgEAAACbLQIAAgAAAAc1OC4zODU2AQgAAAAFAAAAATEBAAAACy0yMDg4ODIxNjcxAwAAAAI3OQIAAAAENDAzNAQAAAABMAcAAAAKMTIvMzEvMjAyMggAAAAJMy8zMS8yMDIyCQAAAAEw0GLRtd632whxrfy13rfbCDZDSVEuTkFTREFRQ006VE9STy5JUV9UT1RBTF9ERUJUX0VRVUlUWS4xMDAwLjEyLzMxLzIwMTUBAAAAeXs2bAMAAAAAANBi0bXet9sIca38td632wgwQ0lRLk5ZU0U6Q0FULklRX0VCSVREQV9JTlQuMTAw</t>
  </si>
  <si>
    <t>MC4xMi8zMS8yMDIyLi4uVVNEAQAAADL1AwACAAAACDI3LjQwNjMyAQgAAAAFAAAAATEBAAAACy0yMDYwODgxOTM3AwAAAAMxNjACAAAABDQxOTAEAAAAATAHAAAACjEyLzMxLzIwMjIIAAAACjEyLzMxLzIwMjIJAAAAATDQYtG13rfbCHGt/LXet9sINUNJUS5OQVNEQVFDTTpUT1JPLklRX0VCSVREQV9JTlQuMTAwMC4xMi8zMS8yMDEzLi4uVVNEAQAAAHl7NmwDAAAAAADQYtG13rfbCHGt/LXet9sIMUNJUS5OWVNFOkRFLklRX1RPVEFMX0RFQlRfQ0FQSVRBTC4xMDAwLjEyLzMxLzIwMTMBAAAAgA8EAAIAAAAGNzcuMTIyAQgAAAAFAAAAATEBAAAACjE3NzQyNzQxNzcDAAAAAzE2MAIAAAAENDE4NgQAAAABMAcAAAAKMTIvMzEvMjAxMwgAAAAKMTAvMzEvMjAxMwkAAAABMNBi0bXet9sIca38td632wgxQ0lRLlRTRTo2NTAxLklRX1RPVEFMX0RFQlRfRVFVSVRZLjEwMDAuMTIvMzAvMjAxNgEAAACbLQIAAgAAAAc4Ny4zNjg2AQgAAAAFAAAAATEBAAAACjE3OTc1NTQ0NTEDAAAAAjc5AgAAAAQ0MDM0BAAAAAEwBwAAAAoxMi8zMC8yMDE2CAAAAAkzLzMxLzIwMTYJAAAAATDQYtG13rfbCHGt/LXet9sINkNJUS5OQVNEQVFDTTpUT1JPLklRX1RPVEFMX0RFQlRfRVFVSVRZLjEwMDAuMTIvMzEvMjAxNAEAAAB5ezZsAwAAAAAA0GLRtd632whxrfy13rfbCDJDSVEuTllTRTpBR0NPLklRX1RPVEFMX0RFQlRfRVFV</t>
  </si>
  <si>
    <t>SVRZLjEwMDAuMTIvMzEvMjAxNAEAAABP2AQAAgAAAAczMS4yMjQ3AQgAAAAFAAAAATEBAAAACjE4Mjk5NTA5NzgDAAAAAzE2MAIAAAAENDAzNAQAAAABMAcAAAAKMTIvMzEvMjAxNAgAAAAKMTIvMzEvMjAxNAkAAAABMNBi0bXet9sIca38td632wg6Q0lRLk5BU0RBUUNNOlRPUk8uSVFfTkVUX0RFQlRfRUJJVERBLjEwMDAuMTIvMzEvMjAyMS4uLlVTRAEAAAB5ezZsAgAAAAgzLjc2MDkyOAEIAAAABQAAAAExAQAAAAstMjAzMzM0NjgzOQMAAAADMTYwAgAAAAQ0MTkzBAAAAAEwBwAAAAoxMi8zMS8yMDIxCAAAAAoxMi8zMS8yMDIxCQAAAAEw0GLRtd632whxrfy13rfbCDZDSVEuTkFTREFRQ006VE9STy5JUV9UT1RBTF9ERUJUX0VRVUlUWS4xMDAwLjEyLzMxLzIwMTMBAAAAeXs2bAMAAAAAANBi0bXet9sIca38td632wg6Q0lRLk5BU0RBUUNNOlRPUk8uSVFfTkVUX0RFQlRfRUJJVERBLjEwMDAuMTIvMzEvMjAyMC4uLlVTRAEAAAB5ezZsAwAAAAAA0GLRtd632whxrfy13rfbCDZDSVEuTllTRTpBR0NPLklRX05FVF9ERUJUX0VCSVREQS4xMDAwLjEyLzMxLzIwMTMuLi5VU0QBAAAAT9gEAAIAAAAIMC4xNzQ5ODQBCAAAAAUAAAABMQEAAAAKMTc3ODE4NTA4OAMAAAADMTYwAgAAAAQ0MTkzBAAAAAEwBwAAAAoxMi8zMS8yMDEzCAAAAAoxMi8zMS8yMDEzCQAAAAEw0GLRtd632whxrfy13rfbCDBDSVEuTllT</t>
  </si>
  <si>
    <t>RTpDQVQuSVFfRUJJVERBX0lOVC4xMDAwLjEyLzMxLzIwMjAuLi5VU0QBAAAAMvUDAAIAAAAJMTQuNjMyMjk1AQgAAAAFAAAAATEBAAAACy0yMDYwODgxOTM2AwAAAAMxNjACAAAABDQxOTAEAAAAATAHAAAACjEyLzMxLzIwMjAIAAAACjEyLzMxLzIwMjAJAAAAATDQYtG13rfbCHGt/LXet9sIN0NJUS5OQVNEQVFDTTpUT1JPLklRX1RPVEFMX0RFQlRfQ0FQSVRBTC4xMDAwLjEyLzMxLzIwMjIBAAAAeXs2bAIAAAAGOC41MTA2AQgAAAAFAAAAATEBAAAACy0yMDMzMzQ2OTAwAwAAAAMxNjACAAAABDQxODYEAAAAATAHAAAACjEyLzMxLzIwMjIIAAAACjEyLzMxLzIwMjIJAAAAATDQYtG13rfbCHGt/LXet9sIMUNJUS5UU0U6NjUwMS5JUV9UT1RBTF9ERUJUX0VRVUlUWS4xMDAwLjEyLzMxLzIwMTQBAAAAmy0CAAIAAAAHNzguNDcyNgEIAAAABQAAAAExAQAAAAoxNzQ1MjcwNTQ0AwAAAAI3OQIAAAAENDAzNAQAAAABMAcAAAAKMTIvMzEvMjAxNAgAAAAJMy8zMS8yMDE0CQAAAAEw0GLRtd632whxrfy13rfbCDFDSVEuTllTRTpDQVQuSVFfVE9UQUxfREVCVF9FUVVJVFkuMTAwMC4xMi8zMS8yMDE5AQAAADL1AwACAAAACDI2MS45MTgxAQgAAAAFAAAAATEBAAAACy0yMTEyMTU3MTU5AwAAAAMxNjACAAAABDQwMzQEAAAAATAHAAAACjEyLzMxLzIwMTkIAAAACjEyLzMxLzIwMTkJAAAAATDQYtG13rfbCHGt/LXe</t>
  </si>
  <si>
    <t>t9sIMENJUS5UU0U6NjUwMS5JUV9FQklUREFfSU5ULjEwMDAuMTIvMzEvMjAxNS4uLlVTRAEAAACbLQIAAgAAAAkzNy4zNjUxMTUBCAAAAAUAAAABMQEAAAAKMTc0NTI3MDY3MgMAAAACNzkCAAAABDQxOTAEAAAAATAHAAAACjEyLzMxLzIwMTUIAAAACTMvMzEvMjAxNQkAAAABMNBi0bXet9sIca38td632wgwQ0lRLk5TRUk6TSZNLklRX0VCSVREQV9JTlQuMTAwMC4xMi8zMS8yMDIxLi4uVVNEAQAAAEJnDQACAAAACDIuMjY0ODg0AQgAAAAFAAAAATEBAAAACy0yMDg5NzQ0MDIwAwAAAAI3MgIAAAAENDE5MAQAAAABMAcAAAAKMTIvMzEvMjAyMQgAAAAJMy8zMS8yMDIxCQAAAAEw0GLRtd632whxrfy13rfbCDFDSVEuTllTRTpDQVQuSVFfVE9UQUxfREVCVF9FUVVJVFkuMTAwMC4xMi8zMC8yMDE2AQAAADL1AwACAAAACDI1NS40MDQ3AQgAAAAFAAAAATEBAAAACjE4NzQ1MjQ0NTMDAAAAAzE2MAIAAAAENDAzNAQAAAABMAcAAAAKMTIvMzAvMjAxNggAAAAKMTIvMzEvMjAxNQkAAAABMNBi0bXet9sIca38td632wg6Q0lRLk5BU0RBUUNNOlRPUk8uSVFfTkVUX0RFQlRfRUJJVERBLjEwMDAuMTIvMzEvMjAxOC4uLlVTRAEAAAB5ezZsAwAAAAAA0GLRtd632whxrfy13rfbCDBDSVEuVFNFOjYzMjYuSVFfRUJJVERBX0lOVC4xMDAwLjEyLzMxLzIwMjIuLi5VU0QBAAAAGVcEAAIAAAAKMTg1LjgzMDIxMgEIAAAA</t>
  </si>
  <si>
    <t>BQAAAAExAQAAAAstMjA1NTYxNjQzNAMAAAACNzkCAAAABDQxOTAEAAAAATAHAAAACjEyLzMxLzIwMjIIAAAACjEyLzMxLzIwMjIJAAAAATDQYtG13rfbCHGt/LXet9sIN0NJUS5OQVNEQVFDTTpUT1JPLklRX1RPVEFMX0RFQlRfQ0FQSVRBTC4xMDAwLjEyLzMxLzIwMjABAAAAeXs2bAMAAAAAANBi0bXet9sIca38td632wg6Q0lRLk5BU0RBUUNNOlRPUk8uSVFfTkVUX0RFQlRfRUJJVERBLjEwMDAuMTIvMzEvMjAxNC4uLlVTRAEAAAB5ezZsAwAAAAAA0GLRtd632whxrfy13rfbCDBDSVEuVFNFOjYzMjYuSVFfRUJJVERBX0lOVC4xMDAwLjEyLzMxLzIwMjEuLi5VU0QBAAAAGVcEAAIAAAAKMzA0Ljg2NjkzNQEIAAAABQAAAAExAQAAAAstMjEwNzcxNDAxNAMAAAACNzkCAAAABDQxOTAEAAAAATAHAAAACjEyLzMxLzIwMjEIAAAACjEyLzMxLzIwMjEJAAAAATDQYtG13rfbCHGt/LXet9sIMkNJUS5OWVNFOlRFWC5JUV9UT1RBTF9ERUJUX0NBUElUQUwuMTAwMC4xMi8zMS8yMDE4AQAAAA6zBAACAAAABTU4LjUyAQgAAAAFAAAAATEBAAAACjIwNzk5NjUxMjUDAAAAAzE2MAIAAAAENDE4NgQAAAABMAcAAAAKMTIvMzEvMjAxOAgAAAAKMTIvMzEvMjAxOAkAAAABMNBi0bXet9sIca38td632wgzQ0lRLk5ZU0U6QUdDTy5JUV9UT1RBTF9ERUJUX0NBUElUQUwuMTAwMC4xMi8zMS8yMDIxAQAAAE/YBAACAAAABzMy</t>
  </si>
  <si>
    <t>LjY3OTEBCAAAAAUAAAABMQEAAAALLTIwNTkwMTI1NDUDAAAAAzE2MAIAAAAENDE4NgQAAAABMAcAAAAKMTIvMzEvMjAyMQgAAAAKMTIvMzEvMjAyMQkAAAABMNBi0bXet9sIca38td632wgxQ0lRLk5ZU0U6Q0FULklRX1RPVEFMX0RFQlRfRVFVSVRZLjEwMDAuMTIvMzEvMjAxNAEAAAAy9QMAAgAAAAgyMzMuNTI1NAEIAAAABQAAAAExAQAAAAoxODI3ODY5MTY1AwAAAAMxNjACAAAABDQwMzQEAAAAATAHAAAACjEyLzMxLzIwMTQIAAAACjEyLzMxLzIwMTQJAAAAATDQYtG13rfbCHGt/LXet9sIOkNJUS5OQVNEQVFDTTpUT1JPLklRX05FVF9ERUJUX0VCSVREQS4xMDAwLjEyLzMxLzIwMTMuLi5VU0QBAAAAeXs2bAMAAAAAANBi0bXet9sIca38td632wgwQ0lRLk5ZU0U6Q0FULklRX0VCSVREQV9JTlQuMTAwMC4xMi8zMS8yMDEzLi4uVVNEAQAAADL1AwACAAAACTE1LjM5MjczMwEIAAAABQAAAAExAQAAAAoxNzc2NDQyMTAyAwAAAAMxNjACAAAABDQxOTAEAAAAATAHAAAACjEyLzMxLzIwMTMIAAAACjEyLzMxLzIwMTMJAAAAATDQYtG13rfbCHGt/LXet9sIM0NJUS5OWVNFOkFHQ08uSVFfVE9UQUxfREVCVF9DQVBJVEFMLjEwMDAuMTIvMzEvMjAxNQEAAABP2AQAAgAAAAczMC4wMjcxAQgAAAAFAAAAATEBAAAACjE4NzY3MzQ1NDADAAAAAzE2MAIAAAAENDE4NgQAAAABMAcAAAAKMTIvMzEvMjAxNQgAAAAK</t>
  </si>
  <si>
    <t>MTIvMzEvMjAxNQkAAAABMNBi0bXet9sIca38td632wg1Q0lRLk5TRUk6TSZNLklRX05FVF9ERUJUX0VCSVREQS4xMDAwLjEyLzMxLzIwMjIuLi5VU0QBAAAAQmcNAAIAAAAIMy43OTY5NzEBCAAAAAUAAAABMQEAAAALLTIwMzkwODI3ODQDAAAAAjcyAgAAAAQ0MTkzBAAAAAEwBwAAAAoxMi8zMS8yMDIyCAAAAAkzLzMxLzIwMjIJAAAAATDQYtG13rfbCHGt/LXet9sILkNJUS5OWVNFOkRFLklRX0lOVkVOVE9SWV9UVVJOUy4xMDAwLjEyLzMxLzIwMjEBAAAAgA8EAAIAAAAINC45NDQ2NTEBCAAAAAUAAAABMQEAAAALLTIwNjUzODg0OTUDAAAAAzE2MAIAAAAENDA4MgQAAAABMAcAAAAKMTIvMzEvMjAyMQgAAAAKMTAvMzEvMjAyMQkAAAABMKTSlbvet9sI4QkW4N632wgyQ0lRLlNIU0U6NjAwMDMxLklRX0lOVkVOVE9SWV9UVVJOUy4xMDAwLjEyLzMxLzIwMTkBAAAAL1BZAAIAAAAIMy45NTgzNzkBCAAAAAUAAAABMQEAAAAKMjA4NjkxNzg3NgMAAAACMzICAAAABDQwODIEAAAAATAHAAAACjEyLzMxLzIwMTkIAAAACjEyLzMxLzIwMTkJAAAAATCk0pW73rfbCDD0FeDet9sIL0NJUS5OWVNFOlRFWC5JUV9JTlZFTlRPUllfVFVSTlMuMTAwMC4xMi8zMS8yMDE3AQAAAA6zBAACAAAACDMuMzE5NTEyAQgAAAAFAAAAATEBAAAACjIwMTQyNzY5NTIDAAAAAzE2MAIAAAAENDA4MgQAAAABMAcAAAAKMTIvMzEvMjAx</t>
  </si>
  <si>
    <t>NwgAAAAKMTIvMzEvMjAxNwkAAAABMKTSlbvet9sIMPQV4N632wguQ0lRLk5ZU0U6REUuSVFfSU5WRU5UT1JZX1RVUk5TLjEwMDAuMTIvMzEvMjAyMgEAAACADwQAAgAAAAg0LjYwMjkwNgEIAAAABQAAAAExAQAAAAstMjA2NTM4ODQ2OAMAAAADMTYwAgAAAAQ0MDgyBAAAAAEwBwAAAAoxMi8zMS8yMDIyCAAAAAoxMC8zMC8yMDIyCQAAAAEwpNKVu9632wgeWxbg3rfbCC9DSVEuTlNFSTpNJk0uSVFfSU5WRU5UT1JZX1RVUk5TLjEwMDAuMTIvMzEvMjAyMAEAAABCZw0AAgAAAAgzLjMzNDg3OAEIAAAABQAAAAExAQAAAAstMjE0MzgyMzE3NQMAAAACNzICAAAABDQwODIEAAAAATAHAAAACjEyLzMxLzIwMjAIAAAACTMvMzEvMjAyMAkAAAABMKTSlbvet9sIMPQV4N632wgwQ0lRLk5ZU0U6Q05ISS5JUV9JTlZFTlRPUllfVFVSTlMuMTAwMC4xMi8zMS8yMDE4AQAAAE5iGQYCAAAACDMuNjAyMzg1AQgAAAAFAAAAATEBAAAACjIwODI5NDcxNzADAAAAAzE2MAIAAAAENDA4MgQAAAABMAcAAAAKMTIvMzEvMjAxOAgAAAAKMTIvMzEvMjAxOAkAAAABMKTSlbvet9sIq/cW4N632wgrQ0lRLlNIU0U6NjAwMDMxLklRX0FSX1RVUk5TLjEwMDAuMTIvMzEvMjAyMQEAAAAvUFkAAgAAAAgzLjk2MjMzOQEIAAAABQAAAAExAQAAAAstMjA1MjU1OTQ3NgMAAAACMzICAAAABDQwMDEEAAAAATAHAAAACjEyLzMxLzIwMjEIAAAA</t>
  </si>
  <si>
    <t>CjEyLzMxLzIwMjEJAAAAATCk0pW73rfbCDD0FeDet9sIKENJUS5OWVNFOlRFWC5JUV9BUl9UVVJOUy4xMDAwLjEyLzMxLzIwMTkBAAAADrMEAAIAAAAIOC4yMDY0MjgBCAAAAAUAAAABMQEAAAALLTIxMTI2MTMyNDUDAAAAAzE2MAIAAAAENDAwMQQAAAABMAcAAAAKMTIvMzEvMjAxOQgAAAAKMTIvMzEvMjAxOQkAAAABMKTSlbvet9sIMPQV4N632wgoQ0lRLk5TRUk6TSZNLklRX0FSX1RVUk5TLjEwMDAuMTIvMzEvMjAyMgEAAABCZw0AAgAAAAkxNC4yOTE2NjgBCAAAAAUAAAABMQEAAAALLTIwMzkwODI3ODQDAAAAAjcyAgAAAAQ0MDAxBAAAAAEwBwAAAAoxMi8zMS8yMDIyCAAAAAkzLzMxLzIwMjIJAAAAATCk0pW73rfbCDD0FeDet9sIKUNJUS5OWVNFOkNOSEkuSVFfQVJfVFVSTlMuMTAwMC4xMi8zMS8yMDIwAQAAAE5iGQYCAAAACTI4LjM3OTYwOQEIAAAABQAAAAExAQAAAAstMjA1OTAxMjUzNgMAAAADMTYwAgAAAAQ0MDAxBAAAAAEwBwAAAAoxMi8zMS8yMDIwCAAAAAoxMi8zMS8yMDIwCQAAAAEwpNKVu9632whwHhfg3rfbCCtDSVEuTllTRTpURVguSVFfQVNTRVRfVFVSTlMuMTAwMC4xMi8zMS8yMDIxAQAAAA6zBAACAAAACDEuMzE4NjA5AQgAAAAFAAAAATEBAAAACy0yMDYxNjMxNjI5AwAAAAMxNjACAAAABDQxNzcEAAAAATAHAAAACjEyLzMxLzIwMjEIAAAACjEyLzMxLzIwMjEJAAAAATCk0pW7</t>
  </si>
  <si>
    <t>3rfbCHVCwbvet9sIMENJUS5OQVNEQVFDTTpUT1JPLklRX0FTU0VUX1RVUk5TLjEwMDAuMTIvMzEvMjAxMwEAAAB5ezZsAwAAAAAApNKVu9632wjgQoDf3rfbCCxDSVEuTllTRTpDTkhJLklRX0FTU0VUX1RVUk5TLjEwMDAuMTIvMzEvMjAyMgEAAABOYhkGAgAAAAgwLjUzMDQ0NQEIAAAABQAAAAExAQAAAAstMjA1OTAxMjU4NAMAAAADMTYwAgAAAAQ0MTc3BAAAAAEwBwAAAAoxMi8zMS8yMDIyCAAAAAoxMi8zMS8yMDIyCQAAAAEwpNKVu9632wjhCRbg3rfbCC5DSVEuTllTRTpERS5JUV9JTlZFTlRPUllfVFVSTlMuMTAwMC4xMi8zMS8yMDIwAQAAAIAPBAACAAAABzQuMjc1NTYBCAAAAAUAAAABMQEAAAALLTIxMTY3ODUwNjkDAAAAAzE2MAIAAAAENDA4MgQAAAABMAcAAAAKMTIvMzEvMjAyMAgAAAAJMTEvMS8yMDIwCQAAAAEwpNKVu9632wjhCRbg3rfbCDJDSVEuU0hTRTo2MDAwMzEuSVFfSU5WRU5UT1JZX1RVUk5TLjEwMDAuMTIvMzEvMjAxOAEAAAAvUFkAAgAAAAc0LjA1MDQ2AQgAAAAFAAAAATEBAAAACjIwMzAxMjgyMjkDAAAAAjMyAgAAAAQ0MDgyBAAAAAEwBwAAAAoxMi8zMS8yMDE4CAAAAAoxMi8zMS8yMDE4CQAAAAEwpNKVu9632wjhCRbg3rfbCC9DSVEuTllTRTpURVguSVFfSU5WRU5UT1JZX1RVUk5TLjEwMDAuMTIvMzAvMjAxNgEAAAAOswQAAgAAAAgzLjIwODcxNAEIAAAABQAAAAExAQAA</t>
  </si>
  <si>
    <t>AAoxODc0ODMyNjYzAwAAAAMxNjACAAAABDQwODIEAAAAATAHAAAACjEyLzMwLzIwMTYIAAAACjEyLzMxLzIwMTUJAAAAATCk0pW73rfbCOEJFuDet9sIL0NJUS5OU0VJOk0mTS5JUV9JTlZFTlRPUllfVFVSTlMuMTAwMC4xMi8zMS8yMDE5AQAAAEJnDQACAAAABzUuNjMwNzMBCAAAAAUAAAABMQEAAAAKMjA0NDk0MTQxMAMAAAACNzICAAAABDQwODIEAAAAATAHAAAACjEyLzMxLzIwMTkIAAAACTMvMzEvMjAxOQkAAAABMKTSlbvet9sI4QkW4N632wgwQ0lRLk5ZU0U6Q05ISS5JUV9JTlZFTlRPUllfVFVSTlMuMTAwMC4xMi8zMS8yMDE3AQAAAE5iGQYCAAAACDMuNjk0MjkxAQgAAAAFAAAAATEBAAAACjIwMTkzMzM4OTgDAAAAAzE2MAIAAAAENDA4MgQAAAABMAcAAAAKMTIvMzEvMjAxNwgAAAAKMTIvMzEvMjAxNwkAAAABMKTSlbvet9sIq/cW4N632wgnQ0lRLk5ZU0U6REUuSVFfQVJfVFVSTlMuMTAwMC4xMi8zMS8yMDIyAQAAAIAPBAACAAAACDguOTE2NDQ5AQgAAAAFAAAAATEBAAAACy0yMDY1Mzg4NDY4AwAAAAMxNjACAAAABDQwMDEEAAAAATAHAAAACjEyLzMxLzIwMjIIAAAACjEwLzMwLzIwMjIJAAAAATCk0pW73rfbCOEJFuDet9sIK0NJUS5TSFNFOjYwMDAzMS5JUV9BUl9UVVJOUy4xMDAwLjEyLzMxLzIwMjABAAAAL1BZAAIAAAAIMy44ODYwNDYBCAAAAAUAAAABMQEAAAALLTIxMDIwODEwMTcD</t>
  </si>
  <si>
    <t>AAAAAjMyAgAAAAQ0MDAxBAAAAAEwBwAAAAoxMi8zMS8yMDIwCAAAAAoxMi8zMS8yMDIwCQAAAAEwpNKVu9632wjhCRbg3rfbCChDSVEuTllTRTpURVguSVFfQVJfVFVSTlMuMTAwMC4xMi8zMS8yMDE4AQAAAA6zBAACAAAACDcuMTAzMDc0AQgAAAAFAAAAATEBAAAACjIwNzk5NjUxMjUDAAAAAzE2MAIAAAAENDAwMQQAAAABMAcAAAAKMTIvMzEvMjAxOAgAAAAKMTIvMzEvMjAxOAkAAAABMKTSlbvet9sI4QkW4N632wgoQ0lRLk5TRUk6TSZNLklRX0FSX1RVUk5TLjEwMDAuMTIvMzEvMjAyMQEAAABCZw0AAgAAAAkxMS4zNDU5NTYBCAAAAAUAAAABMQEAAAALLTIwODk3NDQwMjADAAAAAjcyAgAAAAQ0MDAxBAAAAAEwBwAAAAoxMi8zMS8yMDIxCAAAAAkzLzMxLzIwMjEJAAAAATCk0pW73rfbCOEJFuDet9sIKUNJUS5OWVNFOkNOSEkuSVFfQVJfVFVSTlMuMTAwMC4xMi8zMS8yMDE5AQAAAE5iGQYCAAAACTY0LjE2OTMyNQEIAAAABQAAAAExAQAAAAstMjEwOTc4NTgzMgMAAAADMTYwAgAAAAQ0MDAxBAAAAAEwBwAAAAoxMi8zMS8yMDE5CAAAAAoxMi8zMS8yMDE5CQAAAAEwpNKVu9632wgeWxbg3rfbCC5DSVEuU0hTRTo2MDAwMzEuSVFfQVNTRVRfVFVSTlMuMTAwMC4xMi8zMS8yMDIyAQAAAC9QWQACAAAACDAuNTQzNjg3AQgAAAAFAAAAATEBAAAACy0yMDUyNTU5NDc0AwAAAAIzMgIAAAAENDE3NwQAAAAB</t>
  </si>
  <si>
    <t>MAcAAAAKMTIvMzEvMjAyMggAAAAKMTIvMzEvMjAyMgkAAAABMKTSlbvet9sIdULBu9632wgrQ0lRLk5ZU0U6VEVYLklRX0FTU0VUX1RVUk5TLjEwMDAuMTIvMzEvMjAyMAEAAAAOswQAAgAAAAcwLjk4ODAyAQgAAAAFAAAAATEBAAAACy0yMDYxNjMxNjM4AwAAAAMxNjACAAAABDQxNzcEAAAAATAHAAAACjEyLzMxLzIwMjAIAAAACjEyLzMxLzIwMjAJAAAAATCk0pW73rfbCHVCwbvet9sILENJUS5OWVNFOkNOSEkuSVFfQVNTRVRfVFVSTlMuMTAwMC4xMi8zMS8yMDIxAQAAAE5iGQYCAAAABzAuMzk3MzMBCAAAAAUAAAABMQEAAAALLTIwNTkwMTI2MDMDAAAAAzE2MAIAAAAENDE3NwQAAAABMAcAAAAKMTIvMzEvMjAyMQgAAAAKMTIvMzEvMjAyMQkAAAABMKTSlbvet9sI4QkW4N632wguQ0lRLk5ZU0U6REUuSVFfSU5WRU5UT1JZX1RVUk5TLjEwMDAuMTIvMzEvMjAxOQEAAACADwQAAgAAAAg0LjQxODgzOAEIAAAABQAAAAExAQAAAAstMjExNjc4NTA2NAMAAAADMTYwAgAAAAQ0MDgyBAAAAAEwBwAAAAoxMi8zMS8yMDE5CAAAAAkxMS8zLzIwMTkJAAAAATCk0pW73rfbCBQ0FuDet9sIMkNJUS5TSFNFOjYwMDAzMS5JUV9JTlZFTlRPUllfVFVSTlMuMTAwMC4xMi8zMS8yMDE3AQAAAC9QWQACAAAACDMuOTAwOTM4AQgAAAAFAAAAATEBAAAACjE5NTI2MjAzODkDAAAAAjMyAgAAAAQ0MDgyBAAAAAEwBwAAAAox</t>
  </si>
  <si>
    <t>Mi8zMS8yMDE3CAAAAAoxMi8zMS8yMDE3CQAAAAEwpNKVu9632wjhCRbg3rfbCC9DSVEuTllTRTpURVguSVFfSU5WRU5UT1JZX1RVUk5TLjEwMDAuMTIvMzEvMjAxNQEAAAAOswQAAgAAAAgzLjIwODcxNAEIAAAABQAAAAExAQAAAAoxODc0ODMyNjYzAwAAAAMxNjACAAAABDQwODIEAAAAATAHAAAACjEyLzMxLzIwMTUIAAAACjEyLzMxLzIwMTUJAAAAATCk0pW73rfbCOBCgN/et9sIL0NJUS5OU0VJOk0mTS5JUV9JTlZFTlRPUllfVFVSTlMuMTAwMC4xMi8zMS8yMDE4AQAAAEJnDQACAAAACDUuNzk5MjExAQgAAAAFAAAAATEBAAAACjE5NzA2MzgxMTADAAAAAjcyAgAAAAQ0MDgyBAAAAAEwBwAAAAoxMi8zMS8yMDE4CAAAAAkzLzMxLzIwMTgJAAAAATCk0pW73rfbCOEJFuDet9sIMENJUS5OWVNFOkNOSEkuSVFfSU5WRU5UT1JZX1RVUk5TLjEwMDAuMTIvMzAvMjAxNgEAAABOYhkGAgAAAAgzLjI4OTg1MgEIAAAABQAAAAExAQAAAAoxODc3NjA1MDI3AwAAAAMxNjACAAAABDQwODIEAAAAATAHAAAACjEyLzMwLzIwMTYIAAAACjEyLzMxLzIwMTUJAAAAATCk0pW73rfbCB5bFuDet9sIJ0NJUS5OWVNFOkRFLklRX0FSX1RVUk5TLjEwMDAuMTIvMzEvMjAyMQEAAACADwQAAgAAAAg5LjIxNTQ0NQEIAAAABQAAAAExAQAAAAstMjA2NTM4ODQ5NQMAAAADMTYwAgAAAAQ0MDAxBAAAAAEwBwAAAAoxMi8zMS8yMDIx</t>
  </si>
  <si>
    <t>CAAAAAoxMC8zMS8yMDIxCQAAAAEwpNKVu9632wgUNBbg3rfbCCtDSVEuU0hTRTo2MDAwMzEuSVFfQVJfVFVSTlMuMTAwMC4xMi8zMS8yMDE5AQAAAC9QWQACAAAACDMuMzMzMjc3AQgAAAAFAAAAATEBAAAACjIwODY5MTc4NzYDAAAAAjMyAgAAAAQ0MDAxBAAAAAEwBwAAAAoxMi8zMS8yMDE5CAAAAAoxMi8zMS8yMDE5CQAAAAEwpNKVu9632wjhCRbg3rfbCChDSVEuTllTRTpURVguSVFfQVJfVFVSTlMuMTAwMC4xMi8zMS8yMDE3AQAAAA6zBAACAAAACDYuMDYzMTI5AQgAAAAFAAAAATEBAAAACjIwMTQyNzY5NTIDAAAAAzE2MAIAAAAENDAwMQQAAAABMAcAAAAKMTIvMzEvMjAxNwgAAAAKMTIvMzEvMjAxNwkAAAABMKTSlbvet9sI4QkW4N632wgoQ0lRLk5TRUk6TSZNLklRX0FSX1RVUk5TLjEwMDAuMTIvMzEvMjAyMAEAAABCZw0AAgAAAAg5LjU3MjQwNQEIAAAABQAAAAExAQAAAAstMjE0MzgyMzE3NQMAAAACNzICAAAABDQwMDEEAAAAATAHAAAACjEyLzMxLzIwMjAIAAAACTMvMzEvMjAyMAkAAAABMKTSlbvet9sI4QkW4N632wgpQ0lRLk5ZU0U6Q05ISS5JUV9BUl9UVVJOUy4xMDAwLjEyLzMxLzIwMTgBAAAATmIZBgIAAAAJNjIuMTkyMTc4AQgAAAAFAAAAATEBAAAACjIwODI5NDcxNzADAAAAAzE2MAIAAAAENDAwMQQAAAABMAcAAAAKMTIvMzEvMjAxOAgAAAAKMTIvMzEvMjAxOAkAAAABMKTSlbve</t>
  </si>
  <si>
    <t>t9sIHlsW4N632wguQ0lRLlNIU0U6NjAwMDMxLklRX0FTU0VUX1RVUk5TLjEwMDAuMTIvMzEvMjAyMQEAAAAvUFkAAgAAAAgwLjgwNjQ3MgEIAAAABQAAAAExAQAAAAstMjA1MjU1OTQ3NgMAAAACMzICAAAABDQxNzcEAAAAATAHAAAACjEyLzMxLzIwMjEIAAAACjEyLzMxLzIwMjEJAAAAATCk0pW73rfbCHVCwbvet9sIK0NJUS5OWVNFOlRFWC5JUV9BU1NFVF9UVVJOUy4xMDAwLjEyLzMxLzIwMTkBAAAADrMEAAIAAAAHMS4zMDMwMwEIAAAABQAAAAExAQAAAAstMjExMjYxMzI0NQMAAAADMTYwAgAAAAQ0MTc3BAAAAAEwBwAAAAoxMi8zMS8yMDE5CAAAAAoxMi8zMS8yMDE5CQAAAAEwpNKVu9632wh1QsG73rfbCCtDSVEuTlNFSTpNJk0uSVFfQVNTRVRfVFVSTlMuMTAwMC4xMi8zMS8yMDIyAQAAAEJnDQACAAAACDAuNTM0MDY0AQgAAAAFAAAAATEBAAAACy0yMDM5MDgyNzg0AwAAAAI3MgIAAAAENDE3NwQAAAABMAcAAAAKMTIvMzEvMjAyMggAAAAJMy8zMS8yMDIyCQAAAAEwpNKVu9632wgUNBbg3rfbCCxDSVEuTllTRTpDTkhJLklRX0FTU0VUX1RVUk5TLjEwMDAuMTIvMzEvMjAyMAEAAABOYhkGAgAAAAgwLjMwNzY2OAEIAAAABQAAAAExAQAAAAstMjA1OTAxMjUzNgMAAAADMTYwAgAAAAQ0MTc3BAAAAAEwBwAAAAoxMi8zMS8yMDIwCAAAAAoxMi8zMS8yMDIwCQAAAAEwpNKVu9632wgUNBbg3rfbCC5D</t>
  </si>
  <si>
    <t>SVEuTllTRTpERS5JUV9JTlZFTlRPUllfVFVSTlMuMTAwMC4xMi8zMS8yMDE4AQAAAIAPBAACAAAACDUuMDg3MTg3AQgAAAAFAAAAATEBAAAACjIwNzUyNDcxMTkDAAAAAzE2MAIAAAAENDA4MgQAAAABMAcAAAAKMTIvMzEvMjAxOAgAAAAKMTAvMjgvMjAxOAkAAAABMKTSlbvet9sIFDQW4N632wgyQ0lRLlNIU0U6NjAwMDMxLklRX0lOVkVOVE9SWV9UVVJOUy4xMDAwLjEyLzMwLzIwMTYBAAAAL1BZAAIAAAAIMi43NTEzOTEBCAAAAAUAAAABMQEAAAAKMTgzODUzOTA1NwMAAAACMzICAAAABDQwODIEAAAAATAHAAAACjEyLzMwLzIwMTYIAAAACjEyLzMxLzIwMTUJAAAAATCk0pW73rfbCOEJFuDet9sIL0NJUS5OWVNFOlRFWC5JUV9JTlZFTlRPUllfVFVSTlMuMTAwMC4xMi8zMS8yMDE0AQAAAA6zBAACAAAACDIuODgzNTc1AQgAAAAFAAAAATEBAAAACjE4Mjk1ODIwNDcDAAAAAzE2MAIAAAAENDA4MgQAAAABMAcAAAAKMTIvMzEvMjAxNAgAAAAKMTIvMzEvMjAxNAkAAAABMKTSlbvet9sIHxyA39632wgvQ0lRLk5TRUk6TSZNLklRX0lOVkVOVE9SWV9UVVJOUy4xMDAwLjEyLzMxLzIwMTcBAAAAQmcNAAIAAAAINS41MzYzNjcBCAAAAAUAAAABMQEAAAAKMTg5NTQ2NTQzNwMAAAACNzICAAAABDQwODIEAAAAATAHAAAACjEyLzMxLzIwMTcIAAAACTMvMzEvMjAxNwkAAAABMKTSlbvet9sIFDQW4N632wgwQ0lR</t>
  </si>
  <si>
    <t>Lk5ZU0U6Q05ISS5JUV9JTlZFTlRPUllfVFVSTlMuMTAwMC4xMi8zMS8yMDE1AQAAAE5iGQYCAAAACDMuMjg5ODUyAQgAAAAFAAAAATEBAAAACjE4Nzc2MDUwMjcDAAAAAzE2MAIAAAAENDA4MgQAAAABMAcAAAAKMTIvMzEvMjAxNQgAAAAKMTIvMzEvMjAxNQkAAAABMKTSlbvet9sIHxyA39632wgnQ0lRLk5ZU0U6REUuSVFfQVJfVFVSTlMuMTAwMC4xMi8zMS8yMDIwAQAAAIAPBAACAAAACDYuNDM1ODkyAQgAAAAFAAAAATEBAAAACy0yMTE2Nzg1MDY5AwAAAAMxNjACAAAABDQwMDEEAAAAATAHAAAACjEyLzMxLzIwMjAIAAAACTExLzEvMjAyMAkAAAABMKTSlbvet9sIFDQW4N632wgrQ0lRLlNIU0U6NjAwMDMxLklRX0FSX1RVUk5TLjEwMDAuMTIvMzEvMjAxOAEAAAAvUFkAAgAAAAcyLjY4NDMxAQgAAAAFAAAAATEBAAAACjIwMzAxMjgyMjkDAAAAAjMyAgAAAAQ0MDAxBAAAAAEwBwAAAAoxMi8zMS8yMDE4CAAAAAoxMi8zMS8yMDE4CQAAAAEwpNKVu9632wgUNBbg3rfbCChDSVEuTllTRTpURVguSVFfQVJfVFVSTlMuMTAwMC4xMi8zMC8yMDE2AQAAAA6zBAACAAAACDUuNjExNzc4AQgAAAAFAAAAATEBAAAACjE4NzQ4MzI2NjMDAAAAAzE2MAIAAAAENDAwMQQAAAABMAcAAAAKMTIvMzAvMjAxNggAAAAKMTIvMzEvMjAxNQkAAAABMKTSlbvet9sIFDQW4N632wgoQ0lRLk5TRUk6TSZNLklRX0FSX1RVUk5T</t>
  </si>
  <si>
    <t>LjEwMDAuMTIvMzEvMjAxOQEAAABCZw0AAgAAAAkxMi4xNDc3MTEBCAAAAAUAAAABMQEAAAAKMjA0NDk0MTQxMAMAAAACNzICAAAABDQwMDEEAAAAATAHAAAACjEyLzMxLzIwMTkIAAAACTMvMzEvMjAxOQkAAAABMKTSlbvet9sIFDQW4N632wgpQ0lRLk5ZU0U6Q05ISS5JUV9BUl9UVVJOUy4xMDAwLjEyLzMxLzIwMTcBAAAATmIZBgIAAAAJNDYuMDU3MTkzAQgAAAAFAAAAATEBAAAACjIwMTkzMzM4OTgDAAAAAzE2MAIAAAAENDAwMQQAAAABMAcAAAAKMTIvMzEvMjAxNwgAAAAKMTIvMzEvMjAxNwkAAAABMKTSlbvet9sIKoIW4N632wgqQ0lRLk5ZU0U6REUuSVFfQVNTRVRfVFVSTlMuMTAwMC4xMi8zMS8yMDIyAQAAAIAPBAACAAAACDAuNjAzNjcyAQgAAAAFAAAAATEBAAAACy0yMDY1Mzg4NDY4AwAAAAMxNjACAAAABDQxNzcEAAAAATAHAAAACjEyLzMxLzIwMjIIAAAACjEwLzMwLzIwMjIJAAAAATCk0pW73rfbCBQ0FuDet9sILkNJUS5TSFNFOjYwMDAzMS5JUV9BU1NFVF9UVVJOUy4xMDAwLjEyLzMxLzIwMjABAAAAL1BZAAIAAAAIMC44ODY1MjIBCAAAAAUAAAABMQEAAAALLTIxMDIwODEwMTcDAAAAAjMyAgAAAAQ0MTc3BAAAAAEwBwAAAAoxMi8zMS8yMDIwCAAAAAoxMi8zMS8yMDIwCQAAAAEwpNKVu9632wh1QsG73rfbCCtDSVEuTllTRTpURVguSVFfQVNTRVRfVFVSTlMuMTAwMC4xMi8zMS8yMDE4</t>
  </si>
  <si>
    <t>AQAAAA6zBAACAAAACDEuMzAwMjEyAQgAAAAFAAAAATEBAAAACjIwNzk5NjUxMjUDAAAAAzE2MAIAAAAENDE3NwQAAAABMAcAAAAKMTIvMzEvMjAxOAgAAAAKMTIvMzEvMjAxOAkAAAABMKTSlbvet9sIdULBu9632wgrQ0lRLk5TRUk6TSZNLklRX0FTU0VUX1RVUk5TLjEwMDAuMTIvMzEvMjAyMQEAAABCZw0AAgAAAAgwLjQ1MDUzNgEIAAAABQAAAAExAQAAAAstMjA4OTc0NDAyMAMAAAACNzICAAAABDQxNzcEAAAAATAHAAAACjEyLzMxLzIwMjEIAAAACTMvMzEvMjAyMQkAAAABMKTSlbvet9sIFDQW4N632wgsQ0lRLk5ZU0U6Q05ISS5JUV9BU1NFVF9UVVJOUy4xMDAwLjEyLzMxLzIwMTkBAAAATmIZBgIAAAAIMC42MDA5MjgBCAAAAAUAAAABMQEAAAALLTIxMDk3ODU4MzIDAAAAAzE2MAIAAAAENDE3NwQAAAABMAcAAAAKMTIvMzEvMjAxOQgAAAAKMTIvMzEvMjAxOQkAAAABMKTSlbvet9sIFDQW4N632wguQ0lRLk5ZU0U6REUuSVFfSU5WRU5UT1JZX1RVUk5TLjEwMDAuMTIvMzEvMjAxNwEAAACADwQAAgAAAAg1LjQ3NTkxMwEIAAAABQAAAAExAQAAAAoxOTk2OTk4NzA2AwAAAAMxNjACAAAABDQwODIEAAAAATAHAAAACjEyLzMxLzIwMTcIAAAACjEwLzI5LzIwMTcJAAAAATCk0pW73rfbCB5bFuDet9sIMkNJUS5TSFNFOjYwMDAzMS5JUV9JTlZFTlRPUllfVFVSTlMuMTAwMC4xMi8zMS8yMDE1AQAAAC9Q</t>
  </si>
  <si>
    <t>WQACAAAACDIuNzUxMzkxAQgAAAAFAAAAATEBAAAACjE4Mzg1MzkwNTcDAAAAAjMyAgAAAAQ0MDgyBAAAAAEwBwAAAAoxMi8zMS8yMDE1CAAAAAoxMi8zMS8yMDE1CQAAAAEwpNKVu9632wgQ9X/f3rfbCC9DSVEuTllTRTpURVguSVFfSU5WRU5UT1JZX1RVUk5TLjEwMDAuMTIvMzEvMjAxMwEAAAAOswQAAgAAAAgzLjQ3MTY4MgEIAAAABQAAAAExAQAAAAoxNzc3Mjc5NjEzAwAAAAMxNjACAAAABDQwODIEAAAAATAHAAAACjEyLzMxLzIwMTMIAAAACjEyLzMxLzIwMTMJAAAAATCk0pW73rfbCBD1f9/et9sIL0NJUS5OU0VJOk0mTS5JUV9JTlZFTlRPUllfVFVSTlMuMTAwMC4xMi8zMC8yMDE2AQAAAEJnDQACAAAACDUuMTU0MDQ5AQgAAAAFAAAAATEBAAAACjE4NDkxODIyNjIDAAAAAjcyAgAAAAQ0MDgyBAAAAAEwBwAAAAoxMi8zMC8yMDE2CAAAAAkzLzMxLzIwMTYJAAAAATCk0pW73rfbCBQ0FuDet9sIMENJUS5OWVNFOkNOSEkuSVFfSU5WRU5UT1JZX1RVUk5TLjEwMDAuMTIvMzEvMjAxNAEAAABOYhkGAgAAAAgzLjYwMzY0NAEIAAAABQAAAAExAQAAAAoxODMwNDI4MDcwAwAAAAMxNjACAAAABDQwODIEAAAAATAHAAAACjEyLzMxLzIwMTQIAAAACjEyLzMxLzIwMTQJAAAAATCk0pW73rfbCBD1f9/et9sIJ0NJUS5OWVNFOkRFLklRX0FSX1RVUk5TLjEwMDAuMTIvMzEvMjAxOQEAAACADwQAAgAAAAg2LjU5</t>
  </si>
  <si>
    <t>NDcwNgEIAAAABQAAAAExAQAAAAstMjExNjc4NTA2NAMAAAADMTYwAgAAAAQ0MDAxBAAAAAEwBwAAAAoxMi8zMS8yMDE5CAAAAAkxMS8zLzIwMTkJAAAAATCk0pW73rfbCB5bFuDet9sIK0NJUS5TSFNFOjYwMDAzMS5JUV9BUl9UVVJOUy4xMDAwLjEyLzMxLzIwMTcBAAAAL1BZAAIAAAAIMS45ODMxNDUBCAAAAAUAAAABMQEAAAAKMTk1MjYyMDM4OQMAAAACMzICAAAABDQwMDEEAAAAATAHAAAACjEyLzMxLzIwMTcIAAAACjEyLzMxLzIwMTcJAAAAATCk0pW73rfbCBQ0FuDet9sIKENJUS5OWVNFOlRFWC5JUV9BUl9UVVJOUy4xMDAwLjEyLzMxLzIwMTUBAAAADrMEAAIAAAAINS42MTE3NzgBCAAAAAUAAAABMQEAAAAKMTg3NDgzMjY2MwMAAAADMTYwAgAAAAQ0MDAxBAAAAAEwBwAAAAoxMi8zMS8yMDE1CAAAAAoxMi8zMS8yMDE1CQAAAAEwpNKVu9632wgQ9X/f3rfbCChDSVEuTlNFSTpNJk0uSVFfQVJfVFVSTlMuMTAwMC4xMi8zMS8yMDE4AQAAAEJnDQACAAAACTExLjczOTg3OAEIAAAABQAAAAExAQAAAAoxOTcwNjM4MTEwAwAAAAI3MgIAAAAENDAwMQQAAAABMAcAAAAKMTIvMzEvMjAxOAgAAAAJMy8zMS8yMDE4CQAAAAEwpNKVu9632wgeWxbg3rfbCClDSVEuTllTRTpDTkhJLklRX0FSX1RVUk5TLjEwMDAuMTIvMzAvMjAxNgEAAABOYhkGAgAAAAkzMC4yMDQ0MDYBCAAAAAUAAAABMQEAAAAKMTg3NzYw</t>
  </si>
  <si>
    <t>NTAyNwMAAAADMTYwAgAAAAQ0MDAxBAAAAAEwBwAAAAoxMi8zMC8yMDE2CAAAAAoxMi8zMS8yMDE1CQAAAAEwpNKVu9632wgqghbg3rfbCCpDSVEuTllTRTpERS5JUV9BU1NFVF9UVVJOUy4xMDAwLjEyLzMxLzIwMjEBAAAAgA8EAAIAAAAIMC41NTI1MzIBCAAAAAUAAAABMQEAAAALLTIwNjUzODg0OTUDAAAAAzE2MAIAAAAENDE3NwQAAAABMAcAAAAKMTIvMzEvMjAyMQgAAAAKMTAvMzEvMjAyMQkAAAABMKTSlbvet9sIHlsW4N632wguQ0lRLlNIU0U6NjAwMDMxLklRX0FTU0VUX1RVUk5TLjEwMDAuMTIvMzEvMjAxOQEAAAAvUFkAAgAAAAgwLjg4MTIyMQEIAAAABQAAAAExAQAAAAoyMDg2OTE3ODc2AwAAAAIzMgIAAAAENDE3NwQAAAABMAcAAAAKMTIvMzEvMjAxOQgAAAAKMTIvMzEvMjAxOQkAAAABMKTSlbvet9sIdULBu9632wgrQ0lRLk5ZU0U6VEVYLklRX0FTU0VUX1RVUk5TLjEwMDAuMTIvMzEvMjAxNwEAAAAOswQAAgAAAAcwLjg5NTg3AQgAAAAFAAAAATEBAAAACjIwMTQyNzY5NTIDAAAAAzE2MAIAAAAENDE3NwQAAAABMAcAAAAKMTIvMzEvMjAxNwgAAAAKMTIvMzEvMjAxNwkAAAABMKTSlbvet9sIdULBu9632wgrQ0lRLk5TRUk6TSZNLklRX0FTU0VUX1RVUk5TLjEwMDAuMTIvMzEvMjAyMAEAAABCZw0AAgAAAAcwLjQ2MTE4AQgAAAAFAAAAATEBAAAACy0yMTQzODIzMTc1AwAAAAI3MgIAAAAE</t>
  </si>
  <si>
    <t>NDE3NwQAAAABMAcAAAAKMTIvMzEvMjAyMAgAAAAJMy8zMS8yMDIwCQAAAAEwpNKVu9632wgUNBbg3rfbCCxDSVEuTllTRTpDTkhJLklRX0FTU0VUX1RVUk5TLjEwMDAuMTIvMzEvMjAxOAEAAABOYhkGAgAAAAgwLjYyOTM3NwEIAAAABQAAAAExAQAAAAoyMDgyOTQ3MTcwAwAAAAMxNjACAAAABDQxNzcEAAAAATAHAAAACjEyLzMxLzIwMTgIAAAACjEyLzMxLzIwMTgJAAAAATCk0pW73rfbCBQ0FuDet9sILkNJUS5OWVNFOkRFLklRX0lOVkVOVE9SWV9UVVJOUy4xMDAwLjEyLzMwLzIwMTYBAAAAgA8EAAIAAAAINS4wODA4NTIBCAAAAAUAAAABMQEAAAAKMTkzNjAwNDk3OAMAAAADMTYwAgAAAAQ0MDgyBAAAAAEwBwAAAAoxMi8zMC8yMDE2CAAAAAoxMC8zMC8yMDE2CQAAAAEwpNKVu9632wgeWxbg3rfbCDJDSVEuU0hTRTo2MDAwMzEuSVFfSU5WRU5UT1JZX1RVUk5TLjEwMDAuMTIvMzEvMjAxNAEAAAAvUFkAAgAAAAgyLjcxMzMyNQEIAAAABQAAAAExAQAAAAoxNzg5MDA4MTM4AwAAAAIzMgIAAAAENDA4MgQAAAABMAcAAAAKMTIvMzEvMjAxNAgAAAAKMTIvMzEvMjAxNAkAAAABMKTSlbvet9sIEPV/39632wgvQ0lRLk5TRUk6TSZNLklRX0lOVkVOVE9SWV9UVVJOUy4xMDAwLjEyLzMxLzIwMTUBAAAAQmcNAAIAAAAINS4xMzM0NzcBCAAAAAUAAAABMQEAAAAKMTc5OTI5NjU3MAMAAAACNzICAAAABDQwODIE</t>
  </si>
  <si>
    <t>AAAAATAHAAAACjEyLzMxLzIwMTUIAAAACTMvMzEvMjAxNQkAAAABMKTSlbvet9sIss1/39632wgwQ0lRLk5ZU0U6Q05ISS5JUV9JTlZFTlRPUllfVFVSTlMuMTAwMC4xMi8zMS8yMDEzAQAAAE5iGQYCAAAACDMuOTAzODkyAQgAAAAFAAAAATEBAAAACjE4MjE2ODc2MjADAAAAAzE2MAIAAAAENDA4MgQAAAABMAcAAAAKMTIvMzEvMjAxMwgAAAAKMTIvMzEvMjAxMwkAAAABMKTSlbvet9sIss1/39632wgnQ0lRLk5ZU0U6REUuSVFfQVJfVFVSTlMuMTAwMC4xMi8zMS8yMDE4AQAAAIAPBAACAAAACDcuMjg1MjE4AQgAAAAFAAAAATEBAAAACjIwNzUyNDcxMTkDAAAAAzE2MAIAAAAENDAwMQQAAAABMAcAAAAKMTIvMzEvMjAxOAgAAAAKMTAvMjgvMjAxOAkAAAABMKTSlbvet9sIHlsW4N632wgrQ0lRLlNIU0U6NjAwMDMxLklRX0FSX1RVUk5TLjEwMDAuMTIvMzAvMjAxNgEAAAAvUFkAAgAAAAgxLjA2MjcwMQEIAAAABQAAAAExAQAAAAoxODM4NTM5MDU3AwAAAAIzMgIAAAAENDAwMQQAAAABMAcAAAAKMTIvMzAvMjAxNggAAAAKMTIvMzEvMjAxNQkAAAABMKTSlbvet9sIHlsW4N632wgoQ0lRLk5ZU0U6VEVYLklRX0FSX1RVUk5TLjEwMDAuMTIvMzEvMjAxNAEAAAAOswQAAgAAAAg0Ljg0NjIzNQEIAAAABQAAAAExAQAAAAoxODI5NTgyMDQ3AwAAAAMxNjACAAAABDQwMDEEAAAAATAHAAAACjEyLzMxLzIwMTQI</t>
  </si>
  <si>
    <t>AAAACjEyLzMxLzIwMTQJAAAAATCk0pW73rfbCLLNf9/et9sIKENJUS5OU0VJOk0mTS5JUV9BUl9UVVJOUy4xMDAwLjEyLzMxLzIwMTcBAAAAQmcNAAIAAAAJMTIuODcxNDY4AQgAAAAFAAAAATEBAAAACjE4OTU0NjU0MzcDAAAAAjcyAgAAAAQ0MDAxBAAAAAEwBwAAAAoxMi8zMS8yMDE3CAAAAAkzLzMxLzIwMTcJAAAAATCk0pW73rfbCB5bFuDet9sIKUNJUS5OWVNFOkNOSEkuSVFfQVJfVFVSTlMuMTAwMC4xMi8zMS8yMDE1AQAAAE5iGQYCAAAACTMwLjIwNDQwNgEIAAAABQAAAAExAQAAAAoxODc3NjA1MDI3AwAAAAMxNjACAAAABDQwMDEEAAAAATAHAAAACjEyLzMxLzIwMTUIAAAACjEyLzMxLzIwMTUJAAAAATCk0pW73rfbCLLNf9/et9sIKkNJUS5OWVNFOkRFLklRX0FTU0VUX1RVUk5TLjEwMDAuMTIvMzEvMjAyMAEAAACADwQAAgAAAAgwLjQ3OTU4OAEIAAAABQAAAAExAQAAAAstMjExNjc4NTA2OQMAAAADMTYwAgAAAAQ0MTc3BAAAAAEwBwAAAAoxMi8zMS8yMDIwCAAAAAkxMS8xLzIwMjAJAAAAATCk0pW73rfbCKv3FuDet9sILkNJUS5TSFNFOjYwMDAzMS5JUV9BU1NFVF9UVVJOUy4xMDAwLjEyLzMxLzIwMTgBAAAAL1BZAAIAAAAGMC44NDU3AQgAAAAFAAAAATEBAAAACjIwMzAxMjgyMjkDAAAAAjMyAgAAAAQ0MTc3BAAAAAEwBwAAAAoxMi8zMS8yMDE4CAAAAAoxMi8zMS8yMDE4CQAAAAEwpNKV</t>
  </si>
  <si>
    <t>u9632wh1QsG73rfbCCtDSVEuTllTRTpURVguSVFfQVNTRVRfVFVSTlMuMTAwMC4xMi8zMC8yMDE2AQAAAA6zBAACAAAABzAuODcwMDEBCAAAAAUAAAABMQEAAAAKMTg3NDgzMjY2MwMAAAADMTYwAgAAAAQ0MTc3BAAAAAEwBwAAAAoxMi8zMC8yMDE2CAAAAAoxMi8zMS8yMDE1CQAAAAEwpNKVu9632wh1QsG73rfbCCtDSVEuTlNFSTpNJk0uSVFfQVNTRVRfVFVSTlMuMTAwMC4xMi8zMS8yMDE5AQAAAEJnDQACAAAACDAuNzAyODUxAQgAAAAFAAAAATEBAAAACjIwNDQ5NDE0MTADAAAAAjcyAgAAAAQ0MTc3BAAAAAEwBwAAAAoxMi8zMS8yMDE5CAAAAAkzLzMxLzIwMTkJAAAAATCk0pW73rfbCB5bFuDet9sILENJUS5OWVNFOkNOSEkuSVFfQVNTRVRfVFVSTlMuMTAwMC4xMi8zMS8yMDE3AQAAAE5iGQYCAAAACDAuNTkwMzU2AQgAAAAFAAAAATEBAAAACjIwMTkzMzM4OTgDAAAAAzE2MAIAAAAENDE3NwQAAAABMAcAAAAKMTIvMzEvMjAxNwgAAAAKMTIvMzEvMjAxNwkAAAABMKTSlbvet9sIHlsW4N632wguQ0lRLk5ZU0U6REUuSVFfSU5WRU5UT1JZX1RVUk5TLjEwMDAuMTIvMzEvMjAxNQEAAACADwQAAgAAAAg1LjAxOTA0OAEIAAAABQAAAAExAQAAAAoxODY5OTcxODAxAwAAAAMxNjACAAAABDQwODIEAAAAATAHAAAACjEyLzMxLzIwMTUIAAAACTExLzEvMjAxNQkAAAABMKTSlbvet9sIss1/39632wgyQ0lR</t>
  </si>
  <si>
    <t>LlNIU0U6NjAwMDMxLklRX0lOVkVOVE9SWV9UVVJOUy4xMDAwLjEyLzMxLzIwMTMBAAAAL1BZAAIAAAAHMi43NzA5MQEIAAAABQAAAAExAQAAAAoxNzI5NTQ1Njc2AwAAAAIzMgIAAAAENDA4MgQAAAABMAcAAAAKMTIvMzEvMjAxMwgAAAAKMTIvMzEvMjAxMwkAAAABMKTSlbvet9sIss1/39632wgvQ0lRLk5ZU0U6Q0FULklRX0lOVkVOVE9SWV9UVVJOUy4xMDAwLjEyLzMxLzIwMjIBAAAAMvUDAAIAAAAIMi43Mjg2NTIBCAAAAAUAAAABMQEAAAALLTIwNjA4ODE5MzcDAAAAAzE2MAIAAAAENDA4MgQAAAABMAcAAAAKMTIvMzEvMjAyMggAAAAKMTIvMzEvMjAyMgkAAAABMKTSlbvet9sIHlsW4N632wgvQ0lRLk5TRUk6TSZNLklRX0lOVkVOVE9SWV9UVVJOUy4xMDAwLjEyLzMxLzIwMTQBAAAAQmcNAAIAAAAINS43NDM3MjIBCAAAAAUAAAABMQEAAAAKMTc0NTcyODc2MwMAAAACNzICAAAABDQwODIEAAAAATAHAAAACjEyLzMxLzIwMTQIAAAACTMvMzEvMjAxNAkAAAABMKTSlbvet9sIss1/39632wgnQ0lRLk5ZU0U6REUuSVFfQVJfVFVSTlMuMTAwMC4xMi8zMS8yMDE3AQAAAIAPBAACAAAACDcuNDA3MzU0AQgAAAAFAAAAATEBAAAACjE5OTY5OTg3MDYDAAAAAzE2MAIAAAAENDAwMQQAAAABMAcAAAAKMTIvMzEvMjAxNwgAAAAKMTAvMjkvMjAxNwkAAAABMKTSlbvet9sIKoIW4N632wgrQ0lRLlNIU0U6NjAw</t>
  </si>
  <si>
    <t>MDMxLklRX0FSX1RVUk5TLjEwMDAuMTIvMzEvMjAxNQEAAAAvUFkAAgAAAAgxLjA2MjcwMQEIAAAABQAAAAExAQAAAAoxODM4NTM5MDU3AwAAAAIzMgIAAAAENDAwMQQAAAABMAcAAAAKMTIvMzEvMjAxNQgAAAAKMTIvMzEvMjAxNQkAAAABMKTSlbvet9sIss1/39632wgoQ0lRLk5ZU0U6VEVYLklRX0FSX1RVUk5TLjEwMDAuMTIvMzEvMjAxMwEAAAAOswQAAgAAAAg2LjQzMDA2MgEIAAAABQAAAAExAQAAAAoxNzc3Mjc5NjEzAwAAAAMxNjACAAAABDQwMDEEAAAAATAHAAAACjEyLzMxLzIwMTMIAAAACjEyLzMxLzIwMTMJAAAAATCk0pW73rfbCLLNf9/et9sIKENJUS5OU0VJOk0mTS5JUV9BUl9UVVJOUy4xMDAwLjEyLzMwLzIwMTYBAAAAQmcNAAIAAAAJMTMuNDMwNjc2AQgAAAAFAAAAATEBAAAACjE4NDkxODIyNjIDAAAAAjcyAgAAAAQ0MDAxBAAAAAEwBwAAAAoxMi8zMC8yMDE2CAAAAAkzLzMxLzIwMTYJAAAAATCk0pW73rfbCB5bFuDet9sIKUNJUS5OWVNFOkNOSEkuSVFfQVJfVFVSTlMuMTAwMC4xMi8zMS8yMDE0AQAAAE5iGQYCAAAACTI1LjgyNDUwMwEIAAAABQAAAAExAQAAAAoxODMwNDI4MDcwAwAAAAMxNjACAAAABDQwMDEEAAAAATAHAAAACjEyLzMxLzIwMTQIAAAACjEyLzMxLzIwMTQJAAAAATCk0pW73rfbCKOmf9/et9sIKkNJUS5OWVNFOkRFLklRX0FTU0VUX1RVUk5TLjEwMDAuMTIvMzEv</t>
  </si>
  <si>
    <t>MjAxOQEAAACADwQAAgAAAAgwLjU0ODI1NwEIAAAABQAAAAExAQAAAAstMjExNjc4NTA2NAMAAAADMTYwAgAAAAQ0MTc3BAAAAAEwBwAAAAoxMi8zMS8yMDE5CAAAAAkxMS8zLzIwMTkJAAAAATCk0pW73rfbCKv3FuDet9sILkNJUS5TSFNFOjYwMDAzMS5JUV9BU1NFVF9UVVJOUy4xMDAwLjEyLzMxLzIwMTcBAAAAL1BZAAIAAAAIMC42NDAwMjMBCAAAAAUAAAABMQEAAAAKMTk1MjYyMDM4OQMAAAACMzICAAAABDQxNzcEAAAAATAHAAAACjEyLzMxLzIwMTcIAAAACjEyLzMxLzIwMTcJAAAAATCk0pW73rfbCHVCwbvet9sIL0NJUS5UU0U6NjUwMS5JUV9JTlZFTlRPUllfVFVSTlMuMTAwMC4xMi8zMS8yMDE4AQAAAJstAgACAAAACDUuMjc5NjI3AQgAAAAFAAAAATEBAAAACjE5Njk5MDMyOTEDAAAAAjc5AgAAAAQ0MDgyBAAAAAEwBwAAAAoxMi8zMS8yMDE4CAAAAAkzLzMxLzIwMTgJAAAAATCk0pW73rfbCB5bFuDet9sIL0NJUS5OWVNFOkNBVC5JUV9JTlZFTlRPUllfVFVSTlMuMTAwMC4xMi8zMS8yMDE0AQAAADL1AwACAAAACDMuMjc5NzQyAQgAAAAFAAAAATEBAAAACjE4Mjc4NjkxNjUDAAAAAzE2MAIAAAAENDA4MgQAAAABMAcAAAAKMTIvMzEvMjAxNAgAAAAKMTIvMzEvMjAxNAkAAAABMKTSlbvet9sIo6Z/39632wg0Q0lRLk5BU0RBUUNNOlRPUk8uSVFfSU5WRU5UT1JZX1RVUk5TLjEwMDAuMTIvMzEv</t>
  </si>
  <si>
    <t>MjAxOQEAAAB5ezZsAwAAAAAApNKVu9632wgeWxbg3rfbCC9DSVEuVFNFOjYzMjYuSVFfSU5WRU5UT1JZX1RVUk5TLjEwMDAuMTIvMzEvMjAxNwEAAAAZVwQAAgAAAAgzLjQ1MjY1MQEIAAAABQAAAAExAQAAAAoxODc5NTk0OTQyAwAAAAI3OQIAAAAENDA4MgQAAAABMAcAAAAKMTIvMzEvMjAxNwgAAAAKMTIvMzEvMjAxNwkAAAABMKTSlbvet9sIHlsW4N632wgwQ0lRLk5ZU0U6QUdDTy5JUV9JTlZFTlRPUllfVFVSTlMuMTAwMC4xMi8zMS8yMDE1AQAAAE/YBAACAAAABzMuNzIxODEBCAAAAAUAAAABMQEAAAAKMTg3NjczNDU0MAMAAAADMTYwAgAAAAQ0MDgyBAAAAAEwBwAAAAoxMi8zMS8yMDE1CAAAAAoxMi8zMS8yMDE1CQAAAAEwpNKVu9632wijpn/f3rfbCChDSVEuVFNFOjY1MDEuSVFfQVJfVFVSTlMuMTAwMC4xMi8zMS8yMDIwAQAAAJstAgACAAAACDMuNzYyNjYyAQgAAAAFAAAAATEBAAAACy0yMTIwNTU3NDg2AwAAAAI3OQIAAAAENDAwMQQAAAABMAcAAAAKMTIvMzEvMjAyMAgAAAAJMy8zMS8yMDIwCQAAAAEwpNKVu9632wgeWxbg3rfbCChDSVEuTllTRTpDQVQuSVFfQVJfVFVSTlMuMTAwMC4xMi8zMC8yMDE2AQAAADL1AwACAAAACDYuMTQxNzY0AQgAAAAFAAAAATEBAAAACjE4NzQ1MjQ0NTMDAAAAAzE2MAIAAAAENDAwMQQAAAABMAcAAAAKMTIvMzAvMjAxNggAAAAKMTIvMzEvMjAxNQkAAAAB</t>
  </si>
  <si>
    <t>MKTSlbvet9sIKoIW4N632wgvQ0lRLlRTRTo2MzI2LklRX0lOVkVOVE9SWV9UVVJOUy4xMDAwLjEyLzMwLzIwMTYBAAAAGVcEAAMAAAAAAKTSlbvet9sIHlsW4N632wgoQ0lRLlRTRTo2MzI2LklRX0FSX1RVUk5TLjEwMDAuMTIvMzEvMjAyMgEAAAAZVwQAAgAAAAgyLjQxODQ3NQEIAAAABQAAAAExAQAAAAstMjA1NTYxNjQzNAMAAAACNzkCAAAABDQwMDEEAAAAATAHAAAACjEyLzMxLzIwMjIIAAAACjEyLzMxLzIwMjIJAAAAATCk0pW73rfbCB5bFuDet9sIKUNJUS5OWVNFOkFHQ08uSVFfQVJfVFVSTlMuMTAwMC4xMi8zMS8yMDEzAQAAAE/YBAACAAAACDExLjU2NjQ4AQgAAAAFAAAAATEBAAAACjE3NzgxODUwODgDAAAAAzE2MAIAAAAENDAwMQQAAAABMAcAAAAKMTIvMzEvMjAxMwgAAAAKMTIvMzEvMjAxMwkAAAABMKTSlbvet9sIo6Z/39632wguQ0lRLlNIU0U6NjAwMDMxLklRX0FTU0VUX1RVUk5TLjEwMDAuMTIvMzAvMjAxNgEAAAAvUFkAAgAAAAgwLjM3MzczNgEIAAAABQAAAAExAQAAAAoxODM4NTM5MDU3AwAAAAIzMgIAAAAENDE3NwQAAAABMAcAAAAKMTIvMzAvMjAxNggAAAAKMTIvMzEvMjAxNQkAAAABMKTSlbvet9sIdULBu9632wgrQ0lRLk5ZU0U6Q0FULklRX0FTU0VUX1RVUk5TLjEwMDAuMTIvMzEvMjAxOQEAAAAy9QMAAgAAAAgwLjY4NTUxNgEIAAAABQAAAAExAQAAAAstMjExMjE1NzE1</t>
  </si>
  <si>
    <t>OQMAAAADMTYwAgAAAAQ0MTc3BAAAAAEwBwAAAAoxMi8zMS8yMDE5CAAAAAoxMi8zMS8yMDE5CQAAAAEwpNKVu9632wh1QsG73rfbCDBDSVEuTkFTREFRQ006VE9STy5JUV9BU1NFVF9UVVJOUy4xMDAwLjEyLzMxLzIwMTkBAAAAeXs2bAMAAAAAAKTSlbvet9sIKoIW4N632wgsQ0lRLk5ZU0U6Q05ISS5JUV9BU1NFVF9UVVJOUy4xMDAwLjEyLzMwLzIwMTYBAAAATmIZBgIAAAAIMC41MjU2NTEBCAAAAAUAAAABMQEAAAAKMTg3NzYwNTAyNwMAAAADMTYwAgAAAAQ0MTc3BAAAAAEwBwAAAAoxMi8zMC8yMDE2CAAAAAoxMi8zMS8yMDE1CQAAAAEwpNKVu9632wgeWxbg3rfbCC5DSVEuTllTRTpERS5JUV9JTlZFTlRPUllfVFVSTlMuMTAwMC4xMi8zMS8yMDE0AQAAAIAPBAACAAAACDUuNDA1NjY5AQgAAAAFAAAAATEBAAAACjE4MjI5Njg2ODUDAAAAAzE2MAIAAAAENDA4MgQAAAABMAcAAAAKMTIvMzEvMjAxNAgAAAAKMTAvMzEvMjAxNAkAAAABMKTSlbvet9sIo6Z/39632wgvQ0lRLlRTRTo2MzI2LklRX0lOVkVOVE9SWV9UVVJOUy4xMDAwLjEyLzMxLzIwMTUBAAAAGVcEAAMAAAAAAKTSlbvet9sI6X9/39632wgoQ0lRLlRTRTo2MzI2LklRX0FSX1RVUk5TLjEwMDAuMTIvMzEvMjAyMQEAAAAZVwQAAgAAAAgyLjM1NTk0OQEIAAAABQAAAAExAQAAAAstMjEwNzcxNDAxNAMAAAACNzkCAAAABDQwMDEEAAAAATAH</t>
  </si>
  <si>
    <t>AAAACjEyLzMxLzIwMjEIAAAACjEyLzMxLzIwMjEJAAAAATCk0pW73rfbCCqCFuDet9sILkNJUS5TSFNFOjYwMDAzMS5JUV9BU1NFVF9UVVJOUy4xMDAwLjEyLzMxLzIwMTUBAAAAL1BZAAIAAAAIMC4zNzM3MzYBCAAAAAUAAAABMQEAAAAKMTgzODUzOTA1NwMAAAACMzICAAAABDQxNzcEAAAAATAHAAAACjEyLzMxLzIwMTUIAAAACjEyLzMxLzIwMTUJAAAAATCk0pW73rfbCHVCwbvet9sIK0NJUS5OWVNFOkNBVC5JUV9BU1NFVF9UVVJOUy4xMDAwLjEyLzMxLzIwMTgBAAAAMvUDAAIAAAAIMC43MDM5NTEBCAAAAAUAAAABMQEAAAAKMjA4MDY0ODE0MwMAAAADMTYwAgAAAAQ0MTc3BAAAAAEwBwAAAAoxMi8zMS8yMDE4CAAAAAoxMi8zMS8yMDE4CQAAAAEwpNKVu9632wh1QsG73rfbCDBDSVEuTkFTREFRQ006VE9STy5JUV9BU1NFVF9UVVJOUy4xMDAwLjEyLzMxLzIwMTgBAAAAeXs2bAMAAAAAAKTSlbvet9sIKoIW4N632wgsQ0lRLk5ZU0U6Q05ISS5JUV9BU1NFVF9UVVJOUy4xMDAwLjEyLzMxLzIwMTUBAAAATmIZBgIAAAAIMC41MjU2NTEBCAAAAAUAAAABMQEAAAAKMTg3NzYwNTAyNwMAAAADMTYwAgAAAAQ0MTc3BAAAAAEwBwAAAAoxMi8zMS8yMDE1CAAAAAoxMi8zMS8yMDE1CQAAAAEwpNKVu9632wjpf3/f3rfbCC5DSVEuTllTRTpERS5JUV9JTlZFTlRPUllfVFVSTlMuMTAwMC4xMi8zMS8yMDEzAQAA</t>
  </si>
  <si>
    <t>AIAPBAACAAAACDUuMDcwMzczAQgAAAAFAAAAATEBAAAACjE3NzQyNzQxNzcDAAAAAzE2MAIAAAAENDA4MgQAAAABMAcAAAAKMTIvMzEvMjAxMwgAAAAKMTAvMzEvMjAxMwkAAAABMKTSlbvet9sI6X9/39632wgvQ0lRLlRTRTo2MzI2LklRX0lOVkVOVE9SWV9UVVJOUy4xMDAwLjEyLzMxLzIwMTQBAAAAGVcEAAIAAAAIMy43NTYyNDcBCAAAAAUAAAABMQEAAAAKMTc4MjQ0NjM1NQMAAAACNzkCAAAABDQwODIEAAAAATAHAAAACjEyLzMxLzIwMTQIAAAACTMvMzEvMjAxNAkAAAABMKTSlbvet9sI6X9/39632wgnQ0lRLk5ZU0U6REUuSVFfQVJfVFVSTlMuMTAwMC4xMi8zMC8yMDE2AQAAAIAPBAACAAAACDcuNjUxMDM0AQgAAAAFAAAAATEBAAAACjE5MzYwMDQ5NzgDAAAAAzE2MAIAAAAENDAwMQQAAAABMAcAAAAKMTIvMzAvMjAxNggAAAAKMTAvMzAvMjAxNgkAAAABMKTSlbvet9sIKoIW4N632wgoQ0lRLlRTRTo2MzI2LklRX0FSX1RVUk5TLjEwMDAuMTIvMzEvMjAyMAEAAAAZVwQAAgAAAAgxLjk2NTA2MwEIAAAABQAAAAExAQAAAAstMjEwNzcxNDAwOAMAAAACNzkCAAAABDQwMDEEAAAAATAHAAAACjEyLzMxLzIwMjAIAAAACjEyLzMxLzIwMjAJAAAAATCk0pW73rfbCCqCFuDet9sILkNJUS5TSFNFOjYwMDAzMS5JUV9BU1NFVF9UVVJOUy4xMDAwLjEyLzMxLzIwMTQBAAAAL1BZAAIAAAAIMC40Nzg2NDcB</t>
  </si>
  <si>
    <t>CAAAAAUAAAABMQEAAAAKMTc4OTAwODEzOAMAAAACMzICAAAABDQxNzcEAAAAATAHAAAACjEyLzMxLzIwMTQIAAAACjEyLzMxLzIwMTQJAAAAATCk0pW73rfbCHVCwbvet9sIK0NJUS5OWVNFOkNBVC5JUV9BU1NFVF9UVVJOUy4xMDAwLjEyLzMxLzIwMTcBAAAAMvUDAAIAAAAIMC41OTk1MDEBCAAAAAUAAAABMQEAAAAKMjAxNTg2OTIxNwMAAAADMTYwAgAAAAQ0MTc3BAAAAAEwBwAAAAoxMi8zMS8yMDE3CAAAAAoxMi8zMS8yMDE3CQAAAAEwpNKVu9632wh1QsG73rfbCDBDSVEuTkFTREFRQ006VE9STy5JUV9BU1NFVF9UVVJOUy4xMDAwLjEyLzMxLzIwMTcBAAAAeXs2bAMAAAAAAKTSlbvet9sIKoIW4N632wgsQ0lRLk5ZU0U6Q05ISS5JUV9BU1NFVF9UVVJOUy4xMDAwLjEyLzMxLzIwMTQBAAAATmIZBgIAAAAIMC42MTU2NjIBCAAAAAUAAAABMQEAAAAKMTgzMDQyODA3MAMAAAADMTYwAgAAAAQ0MTc3BAAAAAEwBwAAAAoxMi8zMS8yMDE0CAAAAAoxMi8zMS8yMDE0CQAAAAEwpNKVu9632wjpf3/f3rfbCC9DSVEuVFNFOjYzMjYuSVFfSU5WRU5UT1JZX1RVUk5TLjEwMDAuMTIvMzEvMjAxMwEAAAAZVwQAAgAAAAgzLjc4NjQ0MQEIAAAABQAAAAExAQAAAAoxNzQzNTY1NzI5AwAAAAI3OQIAAAAENDA4MgQAAAABMAcAAAAKMTIvMzEvMjAxMwgAAAAJMy8zMS8yMDEzCQAAAAEwpNKVu9632wjpf3/f3rfbCCdD</t>
  </si>
  <si>
    <t>SVEuTllTRTpERS5JUV9BUl9UVVJOUy4xMDAwLjEyLzMxLzIwMTUBAAAAgA8EAAIAAAAIOC4wNDAxNzcBCAAAAAUAAAABMQEAAAAKMTg2OTk3MTgwMQMAAAADMTYwAgAAAAQ0MDAxBAAAAAEwBwAAAAoxMi8zMS8yMDE1CAAAAAkxMS8xLzIwMTUJAAAAATCk0pW73rfbCOl/f9/et9sIKENJUS5UU0U6NjMyNi5JUV9BUl9UVVJOUy4xMDAwLjEyLzMxLzIwMTkBAAAAGVcEAAIAAAAIMi4wMTY2NDcBCAAAAAUAAAABMQEAAAAKMjA4NTI4ODIwMQMAAAACNzkCAAAABDQwMDEEAAAAATAHAAAACjEyLzMxLzIwMTkIAAAACjEyLzMxLzIwMTkJAAAAATCk0pW73rfbCCqCFuDet9sILkNJUS5TSFNFOjYwMDAzMS5JUV9BU1NFVF9UVVJOUy4xMDAwLjEyLzMxLzIwMTMBAAAAL1BZAAIAAAAIMC41ODE3NTIBCAAAAAUAAAABMQEAAAAKMTcyOTU0NTY3NgMAAAACMzICAAAABDQxNzcEAAAAATAHAAAACjEyLzMxLzIwMTMIAAAACjEyLzMxLzIwMTMJAAAAATCk0pW73rfbCHVCwbvet9sIK0NJUS5OWVNFOkNBVC5JUV9BU1NFVF9UVVJOUy4xMDAwLjEyLzMwLzIwMTYBAAAAMvUDAAIAAAAHMC41NzY3NAEIAAAABQAAAAExAQAAAAoxODc0NTI0NDUzAwAAAAMxNjACAAAABDQxNzcEAAAAATAHAAAACjEyLzMwLzIwMTYIAAAACjEyLzMxLzIwMTUJAAAAATCk0pW73rfbCCwSwbvet9sIMENJUS5OQVNEQVFDTTpUT1JPLklRX0FTU0VU</t>
  </si>
  <si>
    <t>X1RVUk5TLjEwMDAuMTIvMzAvMjAxNgEAAAB5ezZsAwAAAAAApNKVu9632wgqghbg3rfbCCxDSVEuTllTRTpDTkhJLklRX0FTU0VUX1RVUk5TLjEwMDAuMTIvMzEvMjAxMwEAAABOYhkGAgAAAAgwLjY0NDAwMgEIAAAABQAAAAExAQAAAAoxODIxNjg3NjIwAwAAAAMxNjACAAAABDQxNzcEAAAAATAHAAAACjEyLzMxLzIwMTMIAAAACjEyLzMxLzIwMTMJAAAAATCk0pW73rfbCIJYf9/et9sIL0NJUS5UU0U6NjUwMS5JUV9JTlZFTlRPUllfVFVSTlMuMTAwMC4xMi8zMS8yMDIyAQAAAJstAgACAAAACDQuMTcwMDk4AQgAAAAFAAAAATEBAAAACy0yMDg4ODIxNjcxAwAAAAI3OQIAAAAENDA4MgQAAAABMAcAAAAKMTIvMzEvMjAyMggAAAAJMy8zMS8yMDIyCQAAAAEwpNKVu9632wgqghbg3rfbCC9DSVEuTllTRTpURVguSVFfSU5WRU5UT1JZX1RVUk5TLjEwMDAuMTIvMzEvMjAyMgEAAAAOswQAAgAAAAYzLjkzNjQBCAAAAAUAAAABMQEAAAALLTIwNjE2MzE2MzkDAAAAAzE2MAIAAAAENDA4MgQAAAABMAcAAAAKMTIvMzEvMjAyMggAAAAKMTIvMzEvMjAyMgkAAAABMKTSlbvet9sIKoIW4N632wgnQ0lRLk5ZU0U6REUuSVFfQVJfVFVSTlMuMTAwMC4xMi8zMS8yMDE0AQAAAIAPBAACAAAACDkuMjQyNzU4AQgAAAAFAAAAATEBAAAACjE4MjI5Njg2ODUDAAAAAzE2MAIAAAAENDAwMQQAAAABMAcAAAAKMTIvMzEvMjAx</t>
  </si>
  <si>
    <t>NAgAAAAKMTAvMzEvMjAxNAkAAAABMKTSlbvet9sIglh/39632wgoQ0lRLlRTRTo2MzI2LklRX0FSX1RVUk5TLjEwMDAuMTIvMzEvMjAxOAEAAAAZVwQAAgAAAAgyLjAxMDU4NQEIAAAABQAAAAExAQAAAAoyMDIzMDU2MDk3AwAAAAI3OQIAAAAENDAwMQQAAAABMAcAAAAKMTIvMzEvMjAxOAgAAAAKMTIvMzEvMjAxOAkAAAABMKTSlbvet9sIKoIW4N632wgrQ0lRLk5ZU0U6Q0FULklRX0FTU0VUX1RVUk5TLjEwMDAuMTIvMzEvMjAxNQEAAAAy9QMAAgAAAAcwLjU3Njc0AQgAAAAFAAAAATEBAAAACjE4NzQ1MjQ0NTMDAAAAAzE2MAIAAAAENDE3NwQAAAABMAcAAAAKMTIvMzEvMjAxNQgAAAAKMTIvMzEvMjAxNQkAAAABMKTSlbvet9sILBLBu9632wgwQ0lRLk5BU0RBUUNNOlRPUk8uSVFfQVNTRVRfVFVSTlMuMTAwMC4xMi8zMS8yMDE1AQAAAHl7NmwDAAAAAACk0pW73rfbCIJYf9/et9sIL0NJUS5UU0U6NjUwMS5JUV9JTlZFTlRPUllfVFVSTlMuMTAwMC4xMi8zMS8yMDIxAQAAAJstAgACAAAACDQuMjY3MjY0AQgAAAAFAAAAATEBAAAACy0yMDg4ODIxNjQ5AwAAAAI3OQIAAAAENDA4MgQAAAABMAcAAAAKMTIvMzEvMjAyMQgAAAAJMy8zMS8yMDIxCQAAAAEwpNKVu9632wgqghbg3rfbCC9DSVEuTllTRTpURVguSVFfSU5WRU5UT1JZX1RVUk5TLjEwMDAuMTIvMzEvMjAyMQEAAAAOswQAAgAAAAg0LjM5NTUz</t>
  </si>
  <si>
    <t>MwEIAAAABQAAAAExAQAAAAstMjA2MTYzMTYyOQMAAAADMTYwAgAAAAQ0MDgyBAAAAAEwBwAAAAoxMi8zMS8yMDIxCAAAAAoxMi8zMS8yMDIxCQAAAAEwpNKVu9632wgqghbg3rfbCDRDSVEuTkFTREFRQ006VE9STy5JUV9JTlZFTlRPUllfVFVSTlMuMTAwMC4xMi8zMS8yMDIyAQAAAHl7NmwCAAAACTI1LjE0NDkxNQEIAAAABQAAAAExAQAAAAstMjAzMzM0NjkwMAMAAAADMTYwAgAAAAQ0MDgyBAAAAAEwBwAAAAoxMi8zMS8yMDIyCAAAAAoxMi8zMS8yMDIyCQAAAAEwpNKVu9632wgqghbg3rfbCDBDSVEuTllTRTpDTkhJLklRX0lOVkVOVE9SWV9UVVJOUy4xMDAwLjEyLzMxLzIwMjIBAAAATmIZBgIAAAAIMy43Mjk3NzEBCAAAAAUAAAABMQEAAAALLTIwNTkwMTI1ODQDAAAAAzE2MAIAAAAENDA4MgQAAAABMAcAAAAKMTIvMzEvMjAyMggAAAAKMTIvMzEvMjAyMgkAAAABMKTSlbvet9sIq/cW4N632wgnQ0lRLk5ZU0U6REUuSVFfQVJfVFVSTlMuMTAwMC4xMi8zMS8yMDEzAQAAAIAPBAACAAAACDkuMTE4NTQ4AQgAAAAFAAAAATEBAAAACjE3NzQyNzQxNzcDAAAAAzE2MAIAAAAENDAwMQQAAAABMAcAAAAKMTIvMzEvMjAxMwgAAAAKMTAvMzEvMjAxMwkAAAABMKTSlbvet9sIglh/39632wgpQ0lRLk5ZU0U6Q05ISS5JUV9BUl9UVVJOUy4xMDAwLjEyLzMxLzIwMTMBAAAATmIZBgIAAAAIMjAuMDQ4MzIBCAAA</t>
  </si>
  <si>
    <t>AAUAAAABMQEAAAAKMTgyMTY4NzYyMAMAAAADMTYwAgAAAAQ0MDAxBAAAAAEwBwAAAAoxMi8zMS8yMDEzCAAAAAoxMi8zMS8yMDEzCQAAAAEwpNKVu9632wiCWH/f3rfbCChDSVEuVFNFOjYzMjYuSVFfQVJfVFVSTlMuMTAwMC4xMi8zMS8yMDE3AQAAABlXBAACAAAACDEuOTU3MTIxAQgAAAAFAAAAATEBAAAACjE4Nzk1OTQ5NDIDAAAAAjc5AgAAAAQ0MDAxBAAAAAEwBwAAAAoxMi8zMS8yMDE3CAAAAAoxMi8zMS8yMDE3CQAAAAEwpNKVu9632wgqghbg3rfbCCtDSVEuTllTRTpDQVQuSVFfQVNTRVRfVFVSTlMuMTAwMC4xMi8zMS8yMDE0AQAAADL1AwACAAAACDAuNjUwODQyAQgAAAAFAAAAATEBAAAACjE4Mjc4NjkxNjUDAAAAAzE2MAIAAAAENDE3NwQAAAABMAcAAAAKMTIvMzEvMjAxNAgAAAAKMTIvMzEvMjAxNAkAAAABMKTSlbvet9sILBLBu9632wgwQ0lRLk5BU0RBUUNNOlRPUk8uSVFfQVNTRVRfVFVSTlMuMTAwMC4xMi8zMS8yMDE0AQAAAHl7NmwDAAAAAACk0pW73rfbCIJYf9/et9sILENJUS5OWVNFOkFHQ08uSVFfQVNTRVRfVFVSTlMuMTAwMC4xMi8zMS8yMDIyAQAAAE/YBAACAAAACDEuMzExOTkxAQgAAAAFAAAAATEBAAAACy0yMDU5MDEyNjA3AwAAAAMxNjACAAAABDQxNzcEAAAAATAHAAAACjEyLzMxLzIwMjIIAAAACjEyLzMxLzIwMjIJAAAAATCk0pW73rfbCCqCFuDet9sIL0NJUS5UU0U6</t>
  </si>
  <si>
    <t>NjUwMS5JUV9JTlZFTlRPUllfVFVSTlMuMTAwMC4xMi8zMS8yMDIwAQAAAJstAgACAAAACDQuNjI1ODc5AQgAAAAFAAAAATEBAAAACy0yMTIwNTU3NDg2AwAAAAI3OQIAAAAENDA4MgQAAAABMAcAAAAKMTIvMzEvMjAyMAgAAAAJMy8zMS8yMDIwCQAAAAEwpNKVu9632wgqghbg3rfbCC9DSVEuTllTRTpURVguSVFfSU5WRU5UT1JZX1RVUk5TLjEwMDAuMTIvMzEvMjAyMAEAAAAOswQAAgAAAAgzLjQ4MDAwOAEIAAAABQAAAAExAQAAAAstMjA2MTYzMTYzOAMAAAADMTYwAgAAAAQ0MDgyBAAAAAEwBwAAAAoxMi8zMS8yMDIwCAAAAAoxMi8zMS8yMDIwCQAAAAEwpNKVu9632whdqRbg3rfbCDRDSVEuTkFTREFRQ006VE9STy5JUV9JTlZFTlRPUllfVFVSTlMuMTAwMC4xMi8zMS8yMDIxAQAAAHl7NmwDAAAAAACk0pW73rfbCF2pFuDet9sIMENJUS5OWVNFOkNOSEkuSVFfSU5WRU5UT1JZX1RVUk5TLjEwMDAuMTIvMzEvMjAyMQEAAABOYhkGAgAAAAgyLjc3NTE3NwEIAAAABQAAAAExAQAAAAstMjA1OTAxMjYwMwMAAAADMTYwAgAAAAQ0MDgyBAAAAAEwBwAAAAoxMi8zMS8yMDIxCAAAAAoxMi8zMS8yMDIxCQAAAAEwpNKVu9632wir9xbg3rfbCChDSVEuVFNFOjYzMjYuSVFfQVJfVFVSTlMuMTAwMC4xMi8zMC8yMDE2AQAAABlXBAADAAAAAACk0pW73rfbCCqCFuDet9sIK0NJUS5OWVNFOkNBVC5JUV9BU1NFVF9U</t>
  </si>
  <si>
    <t>VVJOUy4xMDAwLjEyLzMxLzIwMTMBAAAAMvUDAAIAAAAIMC42NDAyMTcBCAAAAAUAAAABMQEAAAAKMTc3NjQ0MjEwMgMAAAADMTYwAgAAAAQ0MTc3BAAAAAEwBwAAAAoxMi8zMS8yMDEzCAAAAAoxMi8zMS8yMDEzCQAAAAEwpNKVu9632wgb68C73rfbCCtDSVEuTlNFSTpNJk0uSVFfQVNTRVRfVFVSTlMuMTAwMC4xMi8zMS8yMDE4AQAAAEJnDQACAAAACDAuNzM1MDI4AQgAAAAFAAAAATEBAAAACjE5NzA2MzgxMTADAAAAAjcyAgAAAAQ0MTc3BAAAAAEwBwAAAAoxMi8zMS8yMDE4CAAAAAkzLzMxLzIwMTgJAAAAATCk0pW73rfbCF2pFuDet9sILENJUS5OWVNFOkFHQ08uSVFfQVNTRVRfVFVSTlMuMTAwMC4xMi8zMS8yMDIxAQAAAE/YBAACAAAACDEuMjU5NTM5AQgAAAAFAAAAATEBAAAACy0yMDU5MDEyNTQ1AwAAAAMxNjACAAAABDQxNzcEAAAAATAHAAAACjEyLzMxLzIwMjEIAAAACjEyLzMxLzIwMjEJAAAAATCk0pW73rfbCF2pFuDet9sIL0NJUS5UU0U6NjUwMS5JUV9JTlZFTlRPUllfVFVSTlMuMTAwMC4xMi8zMS8yMDE5AQAAAJstAgACAAAACDUuMDk4NTcyAQgAAAAFAAAAATEBAAAACjIwNjI5MzgwMjMDAAAAAjc5AgAAAAQ0MDgyBAAAAAEwBwAAAAoxMi8zMS8yMDE5CAAAAAkzLzMxLzIwMTkJAAAAATCk0pW73rfbCF2pFuDet9sIL0NJUS5OWVNFOlRFWC5JUV9JTlZFTlRPUllfVFVSTlMuMTAwMC4x</t>
  </si>
  <si>
    <t>Mi8zMS8yMDE5AQAAAA6zBAACAAAACDMuOTIzMTI5AQgAAAAFAAAAATEBAAAACy0yMTEyNjEzMjQ1AwAAAAMxNjACAAAABDQwODIEAAAAATAHAAAACjEyLzMxLzIwMTkIAAAACjEyLzMxLzIwMTkJAAAAATCk0pW73rfbCF2pFuDet9sINENJUS5OQVNEQVFDTTpUT1JPLklRX0lOVkVOVE9SWV9UVVJOUy4xMDAwLjEyLzMxLzIwMjABAAAAeXs2bAMAAAAAAKTSlbvet9sIXakW4N632wgwQ0lRLk5ZU0U6Q05ISS5JUV9JTlZFTlRPUllfVFVSTlMuMTAwMC4xMi8zMS8yMDIwAQAAAE5iGQYCAAAACDEuNzMwNjAyAQgAAAAFAAAAATEBAAAACy0yMDU5MDEyNTM2AwAAAAMxNjACAAAABDQwODIEAAAAATAHAAAACjEyLzMxLzIwMjAIAAAACjEyLzMxLzIwMjAJAAAAATCk0pW73rfbCKv3FuDet9sIKENJUS5UU0U6NjUwMS5JUV9BUl9UVVJOUy4xMDAwLjEyLzMxLzIwMjIBAAAAmy0CAAIAAAAIMy41OTM2NTUBCAAAAAUAAAABMQEAAAALLTIwODg4MjE2NzEDAAAAAjc5AgAAAAQ0MDAxBAAAAAEwBwAAAAoxMi8zMS8yMDIyCAAAAAkzLzMxLzIwMjIJAAAAATCk0pW73rfbCF2pFuDet9sIKENJUS5OWVNFOlRFWC5JUV9BUl9UVVJOUy4xMDAwLjEyLzMxLzIwMjIBAAAADrMEAAIAAAAIOC4zNzMxOTkBCAAAAAUAAAABMQEAAAALLTIwNjE2MzE2MzkDAAAAAzE2MAIAAAAENDAwMQQAAAABMAcAAAAKMTIvMzEvMjAyMggAAAAK</t>
  </si>
  <si>
    <t>MTIvMzEvMjAyMgkAAAABMKTSlbvet9sIXakW4N632wgoQ0lRLlRTRTo2MzI2LklRX0FSX1RVUk5TLjEwMDAuMTIvMzEvMjAxNQEAAAAZVwQAAwAAAAAApNKVu9632wjtOn3f3rfbCCpDSVEuTllTRTpERS5JUV9BU1NFVF9UVVJOUy4xMDAwLjEyLzMxLzIwMTgBAAAAgA8EAAIAAAAHMC41NDkyMgEIAAAABQAAAAExAQAAAAoyMDc1MjQ3MTE5AwAAAAMxNjACAAAABDQxNzcEAAAAATAHAAAACjEyLzMxLzIwMTgIAAAACjEwLzI4LzIwMTgJAAAAATCk0pW73rfbCEHRFuDet9sIK0NJUS5OU0VJOk0mTS5JUV9BU1NFVF9UVVJOUy4xMDAwLjEyLzMxLzIwMTcBAAAAQmcNAAIAAAAIMC43ODQxMDYBCAAAAAUAAAABMQEAAAAKMTg5NTQ2NTQzNwMAAAACNzICAAAABDQxNzcEAAAAATAHAAAACjEyLzMxLzIwMTcIAAAACTMvMzEvMjAxNwkAAAABMKTSlbvet9sIXakW4N632wgsQ0lRLk5ZU0U6QUdDTy5JUV9BU1NFVF9UVVJOUy4xMDAwLjEyLzMxLzIwMjABAAAAT9gEAAIAAAAIMS4xMjUxNTQBCAAAAAUAAAABMQEAAAALLTIwNTkwMTI1NzcDAAAAAzE2MAIAAAAENDE3NwQAAAABMAcAAAAKMTIvMzEvMjAyMAgAAAAKMTIvMzEvMjAyMAkAAAABMKTSlbvet9sIXakW4N632wgvQ0lRLlRTRTo2NTAxLklRX0lOVkVOVE9SWV9UVVJOUy4xMDAwLjEyLzMxLzIwMTcBAAAAmy0CAAIAAAAINS4zNzA3OTYBCAAAAAUAAAABMQEA</t>
  </si>
  <si>
    <t>AAAKMTk2MzMxNTkwMAMAAAACNzkCAAAABDQwODIEAAAAATAHAAAACjEyLzMxLzIwMTcIAAAACTMvMzEvMjAxNwkAAAABMKTSlbvet9sIXakW4N632wgvQ0lRLk5ZU0U6VEVYLklRX0lOVkVOVE9SWV9UVVJOUy4xMDAwLjEyLzMxLzIwMTgBAAAADrMEAAIAAAAHMy43NjUyMQEIAAAABQAAAAExAQAAAAoyMDc5OTY1MTI1AwAAAAMxNjACAAAABDQwODIEAAAAATAHAAAACjEyLzMxLzIwMTgIAAAACjEyLzMxLzIwMTgJAAAAATCk0pW73rfbCF2pFuDet9sINENJUS5OQVNEQVFDTTpUT1JPLklRX0lOVkVOVE9SWV9UVVJOUy4xMDAwLjEyLzMxLzIwMTgBAAAAeXs2bAMAAAAAAKTSlbvet9sIXakW4N632wgwQ0lRLk5ZU0U6Q05ISS5JUV9JTlZFTlRPUllfVFVSTlMuMTAwMC4xMi8zMS8yMDE5AQAAAE5iGQYCAAAACDMuMjU0Mzc4AQgAAAAFAAAAATEBAAAACy0yMTA5Nzg1ODMyAwAAAAMxNjACAAAABDQwODIEAAAAATAHAAAACjEyLzMxLzIwMTkIAAAACjEyLzMxLzIwMTkJAAAAATCk0pW73rfbCKv3FuDet9sIKENJUS5UU0U6NjUwMS5JUV9BUl9UVVJOUy4xMDAwLjEyLzMxLzIwMjEBAAAAmy0CAAIAAAAIMy40OTUzOTYBCAAAAAUAAAABMQEAAAALLTIwODg4MjE2NDkDAAAAAjc5AgAAAAQ0MDAxBAAAAAEwBwAAAAoxMi8zMS8yMDIxCAAAAAkzLzMxLzIwMjEJAAAAATCk0pW73rfbCF2pFuDet9sIKENJUS5OWVNF</t>
  </si>
  <si>
    <t>OlRFWC5JUV9BUl9UVVJOUy4xMDAwLjEyLzMxLzIwMjEBAAAADrMEAAIAAAAHOC43NDUxOQEIAAAABQAAAAExAQAAAAstMjA2MTYzMTYyOQMAAAADMTYwAgAAAAQ0MDAxBAAAAAEwBwAAAAoxMi8zMS8yMDIxCAAAAAoxMi8zMS8yMDIxCQAAAAEwpNKVu9632whdqRbg3rfbCChDSVEuVFNFOjYzMjYuSVFfQVJfVFVSTlMuMTAwMC4xMi8zMS8yMDE0AQAAABlXBAACAAAACDIuMTM3MDI0AQgAAAAFAAAAATEBAAAACjE3ODI0NDYzNTUDAAAAAjc5AgAAAAQ0MDAxBAAAAAEwBwAAAAoxMi8zMS8yMDE0CAAAAAkzLzMxLzIwMTQJAAAAATCk0pW73rfbCO06fd/et9sIKkNJUS5OWVNFOkRFLklRX0FTU0VUX1RVUk5TLjEwMDAuMTIvMzEvMjAxNwEAAACADwQAAgAAAAgwLjQ3MDAwNgEIAAAABQAAAAExAQAAAAoxOTk2OTk4NzA2AwAAAAMxNjACAAAABDQxNzcEAAAAATAHAAAACjEyLzMxLzIwMTcIAAAACjEwLzI5LzIwMTcJAAAAATCk0pW73rfbCKv3FuDet9sIK0NJUS5OU0VJOk0mTS5JUV9BU1NFVF9UVVJOUy4xMDAwLjEyLzMwLzIwMTYBAAAAQmcNAAIAAAAIMC43ODA1MDYBCAAAAAUAAAABMQEAAAAKMTg0OTE4MjI2MgMAAAACNzICAAAABDQxNzcEAAAAATAHAAAACjEyLzMwLzIwMTYIAAAACTMvMzEvMjAxNgkAAAABMKTSlbvet9sIXakW4N632wgsQ0lRLk5ZU0U6QUdDTy5JUV9BU1NFVF9UVVJOUy4xMDAwLjEy</t>
  </si>
  <si>
    <t>LzMxLzIwMTkBAAAAT9gEAAIAAAAIMS4xNzUyNjgBCAAAAAUAAAABMQEAAAALLTIxMTA0NTcyODgDAAAAAzE2MAIAAAAENDE3NwQAAAABMAcAAAAKMTIvMzEvMjAxOQgAAAAKMTIvMzEvMjAxOQkAAAABMKTSlbvet9sIXakW4N632wgvQ0lRLlRTRTo2NTAxLklRX0lOVkVOVE9SWV9UVVJOUy4xMDAwLjEyLzMwLzIwMTYBAAAAmy0CAAIAAAAINS40MDkwOTUBCAAAAAUAAAABMQEAAAAKMTc5NzU1NDQ1MQMAAAACNzkCAAAABDQwODIEAAAAATAHAAAACjEyLzMwLzIwMTYIAAAACTMvMzEvMjAxNgkAAAABMKTSlbvet9sIXakW4N632wgvQ0lRLk5ZU0U6Q0FULklRX0lOVkVOVE9SWV9UVVJOUy4xMDAwLjEyLzMxLzIwMjEBAAAAMvUDAAIAAAAIMi43OTE5MDIBCAAAAAUAAAABMQEAAAALLTIwNjA4ODE5NDEDAAAAAzE2MAIAAAAENDA4MgQAAAABMAcAAAAKMTIvMzEvMjAyMQgAAAAKMTIvMzEvMjAyMQkAAAABMKTSlbvet9sIQdEW4N632wg0Q0lRLk5BU0RBUUNNOlRPUk8uSVFfSU5WRU5UT1JZX1RVUk5TLjEwMDAuMTIvMzEvMjAxNwEAAAB5ezZsAwAAAAAApNKVu9632whdqRbg3rfbCDBDSVEuTllTRTpBR0NPLklRX0lOVkVOVE9SWV9UVVJOUy4xMDAwLjEyLzMxLzIwMjIBAAAAT9gEAAIAAAAIMy4zMzcxNzEBCAAAAAUAAAABMQEAAAALLTIwNTkwMTI2MDcDAAAAAzE2MAIAAAAENDA4MgQAAAABMAcAAAAKMTIv</t>
  </si>
  <si>
    <t>MzEvMjAyMggAAAAKMTIvMzEvMjAyMgkAAAABMKTSlbvet9sIXakW4N632wgoQ0lRLlRTRTo2NTAxLklRX0FSX1RVUk5TLjEwMDAuMTIvMzEvMjAxOQEAAACbLQIAAgAAAAgzLjg2ODU3NgEIAAAABQAAAAExAQAAAAoyMDYyOTM4MDIzAwAAAAI3OQIAAAAENDAwMQQAAAABMAcAAAAKMTIvMzEvMjAxOQgAAAAJMy8zMS8yMDE5CQAAAAEwpNKVu9632whB0Rbg3rfbCChDSVEuTllTRTpURVguSVFfQVJfVFVSTlMuMTAwMC4xMi8zMS8yMDIwAQAAAA6zBAACAAAABzcuMzY3NzQBCAAAAAUAAAABMQEAAAALLTIwNjE2MzE2MzgDAAAAAzE2MAIAAAAENDAwMQQAAAABMAcAAAAKMTIvMzEvMjAyMAgAAAAKMTIvMzEvMjAyMAkAAAABMKTSlbvet9sIXakW4N632wgtQ0lRLk5BU0RBUUNNOlRPUk8uSVFfQVJfVFVSTlMuMTAwMC4xMi8zMS8yMDIyAQAAAHl7NmwCAAAACTE1LjIwMzIwMwEIAAAABQAAAAExAQAAAAstMjAzMzM0NjkwMAMAAAADMTYwAgAAAAQ0MDAxBAAAAAEwBwAAAAoxMi8zMS8yMDIyCAAAAAoxMi8zMS8yMDIyCQAAAAEwpNKVu9632whdqRbg3rfbCChDSVEuVFNFOjYzMjYuSVFfQVJfVFVSTlMuMTAwMC4xMi8zMS8yMDEzAQAAABlXBAACAAAABzIuMTA5MTgBCAAAAAUAAAABMQEAAAAKMTc0MzU2NTcyOQMAAAACNzkCAAAABDQwMDEEAAAAATAHAAAACjEyLzMxLzIwMTMIAAAACTMvMzEvMjAxMwkAAAAB</t>
  </si>
  <si>
    <t>MKTSlbvet9sI7Tp939632wgqQ0lRLk5ZU0U6REUuSVFfQVNTRVRfVFVSTlMuMTAwMC4xMi8zMC8yMDE2AQAAAIAPBAACAAAABzAuNDU4MjcBCAAAAAUAAAABMQEAAAAKMTkzNjAwNDk3OAMAAAADMTYwAgAAAAQ0MTc3BAAAAAEwBwAAAAoxMi8zMC8yMDE2CAAAAAoxMC8zMC8yMDE2CQAAAAEwpNKVu9632whwHhfg3rfbCDJDSVEuU0hTRTo2MDAwMzEuSVFfSU5WRU5UT1JZX1RVUk5TLjEwMDAuMTIvMzEvMjAyMgEAAAAvUFkAAgAAAAgzLjE5MDg3NAEIAAAABQAAAAExAQAAAAstMjA1MjU1OTQ3NAMAAAACMzICAAAABDQwODIEAAAAATAHAAAACjEyLzMxLzIwMjIIAAAACjEyLzMxLzIwMjIJAAAAATCk0pW73rfbCEHRFuDet9sIL0NJUS5OWVNFOkNBVC5JUV9JTlZFTlRPUllfVFVSTlMuMTAwMC4xMi8zMC8yMDE2AQAAADL1AwACAAAACDMuMDYyODYyAQgAAAAFAAAAATEBAAAACjE4NzQ1MjQ0NTMDAAAAAzE2MAIAAAAENDA4MgQAAAABMAcAAAAKMTIvMzAvMjAxNggAAAAKMTIvMzEvMjAxNQkAAAABMKTSlbvet9sIQdEW4N632wgwQ0lRLk5ZU0U6QUdDTy5JUV9JTlZFTlRPUllfVFVSTlMuMTAwMC4xMi8zMS8yMDE3AQAAAE/YBAACAAAACDMuODYxNzM1AQgAAAAFAAAAATEBAAAACjIwMTgzNjA4MjMDAAAAAzE2MAIAAAAENDA4MgQAAAABMAcAAAAKMTIvMzEvMjAxNwgAAAAKMTIvMzEvMjAxNwkAAAABMKTS</t>
  </si>
  <si>
    <t>lbvet9sIQdEW4N632wgoQ0lRLlRTRTo2NTAxLklRX0FSX1RVUk5TLjEwMDAuMTIvMzEvMjAxNAEAAACbLQIAAgAAAAczLjczMzEyAQgAAAAFAAAAATEBAAAACjE3NDUyNzA1NDQDAAAAAjc5AgAAAAQ0MDAxBAAAAAEwBwAAAAoxMi8zMS8yMDE0CAAAAAkzLzMxLzIwMTQJAAAAATCk0pW73rfbCO06fd/et9sIKENJUS5OWVNFOkNBVC5JUV9BUl9UVVJOUy4xMDAwLjEyLzMxLzIwMTkBAAAAMvUDAAIAAAAHNS45MDI0MwEIAAAABQAAAAExAQAAAAstMjExMjE1NzE1OQMAAAADMTYwAgAAAAQ0MDAxBAAAAAEwBwAAAAoxMi8zMS8yMDE5CAAAAAoxMi8zMS8yMDE5CQAAAAEwpNKVu9632whB0Rbg3rfbCC1DSVEuTkFTREFRQ006VE9STy5JUV9BUl9UVVJOUy4xMDAwLjEyLzMxLzIwMTcBAAAAeXs2bAMAAAAAAKTSlbvet9sIQdEW4N632wgrQ0lRLlRTRTo2NTAxLklRX0FTU0VUX1RVUk5TLjEwMDAuMTIvMzEvMjAyMgEAAACbLQIAAgAAAAgwLjc5NzU0OQEIAAAABQAAAAExAQAAAAstMjA4ODgyMTY3MQMAAAACNzkCAAAABDQxNzcEAAAAATAHAAAACjEyLzMxLzIwMjIIAAAACTMvMzEvMjAyMgkAAAABMKTSlbvet9sIqJzAu9632wgrQ0lRLlRTRTo2MzI2LklRX0FTU0VUX1RVUk5TLjEwMDAuMTIvMzEvMjAyMQEAAAAZVwQAAgAAAAgwLjYzMDk5OAEIAAAABQAAAAExAQAAAAstMjEwNzcxNDAxNAMAAAACNzkCAAAA</t>
  </si>
  <si>
    <t>BDQxNzcEAAAAATAHAAAACjEyLzMxLzIwMjEIAAAACjEyLzMxLzIwMjEJAAAAATCk0pW73rfbCEHRFuDet9sILENJUS5OWVNFOkFHQ08uSVFfQVNTRVRfVFVSTlMuMTAwMC4xMi8zMS8yMDEzAQAAAE/YBAACAAAACDEuMzM0OTYyAQgAAAAFAAAAATEBAAAACjE3NzgxODUwODgDAAAAAzE2MAIAAAAENDE3NwQAAAABMAcAAAAKMTIvMzEvMjAxMwgAAAAKMTIvMzEvMjAxMwkAAAABMKTSlbvet9sI7Tp939632wgyQ0lRLlNIU0U6NjAwMDMxLklRX0lOVkVOVE9SWV9UVVJOUy4xMDAwLjEyLzMxLzIwMjEBAAAAL1BZAAIAAAAINC4xOTIyODgBCAAAAAUAAAABMQEAAAALLTIwNTI1NTk0NzYDAAAAAjMyAgAAAAQ0MDgyBAAAAAEwBwAAAAoxMi8zMS8yMDIxCAAAAAoxMi8zMS8yMDIxCQAAAAEwpNKVu9632whB0Rbg3rfbCC9DSVEuTllTRTpDQVQuSVFfSU5WRU5UT1JZX1RVUk5TLjEwMDAuMTIvMzEvMjAxNQEAAAAy9QMAAgAAAAgzLjA2Mjg2MgEIAAAABQAAAAExAQAAAAoxODc0NTI0NDUzAwAAAAMxNjACAAAABDQwODIEAAAAATAHAAAACjEyLzMxLzIwMTUIAAAACjEyLzMxLzIwMTUJAAAAATCk0pW73rfbCO06fd/et9sIL0NJUS5OU0VJOk0mTS5JUV9JTlZFTlRPUllfVFVSTlMuMTAwMC4xMi8zMS8yMDIyAQAAAEJnDQACAAAACDQuOTQ1MDM0AQgAAAAFAAAAATEBAAAACy0yMDM5MDgyNzg0AwAAAAI3MgIAAAAE</t>
  </si>
  <si>
    <t>NDA4MgQAAAABMAcAAAAKMTIvMzEvMjAyMggAAAAJMy8zMS8yMDIyCQAAAAEwpNKVu9632whB0Rbg3rfbCDBDSVEuTllTRTpBR0NPLklRX0lOVkVOVE9SWV9UVVJOUy4xMDAwLjEyLzMwLzIwMTYBAAAAT9gEAAIAAAAHMy43MjE4MQEIAAAABQAAAAExAQAAAAoxODc2NzM0NTQwAwAAAAMxNjACAAAABDQwODIEAAAAATAHAAAACjEyLzMwLzIwMTYIAAAACjEyLzMxLzIwMTUJAAAAATCk0pW73rfbCEHRFuDet9sIKENJUS5UU0U6NjUwMS5JUV9BUl9UVVJOUy4xMDAwLjEyLzMxLzIwMTMBAAAAmy0CAAIAAAAIMy4yODYwNDcBCAAAAAUAAAABMQEAAAAKMTY4NTUyMTcyMgMAAAACNzkCAAAABDQwMDEEAAAAATAHAAAACjEyLzMxLzIwMTMIAAAACTMvMzEvMjAxMwkAAAABMKTSlbvet9sI7Tp939632wgoQ0lRLk5ZU0U6Q0FULklRX0FSX1RVUk5TLjEwMDAuMTIvMzEvMjAxOAEAAAAy9QMAAgAAAAg2LjQ0MTUxNgEIAAAABQAAAAExAQAAAAoyMDgwNjQ4MTQzAwAAAAMxNjACAAAABDQwMDEEAAAAATAHAAAACjEyLzMxLzIwMTgIAAAACjEyLzMxLzIwMTgJAAAAATCk0pW73rfbCEHRFuDet9sILUNJUS5OQVNEQVFDTTpUT1JPLklRX0FSX1RVUk5TLjEwMDAuMTIvMzAvMjAxNgEAAAB5ezZsAwAAAAAApNKVu9632whB0Rbg3rfbCClDSVEuTllTRTpBR0NPLklRX0FSX1RVUk5TLjEwMDAuMTIvMzEvMjAyMgEAAABP2AQA</t>
  </si>
  <si>
    <t>AgAAAAkxMS40MzQ3NDMBCAAAAAUAAAABMQEAAAALLTIwNTkwMTI2MDcDAAAAAzE2MAIAAAAENDAwMQQAAAABMAcAAAAKMTIvMzEvMjAyMggAAAAKMTIvMzEvMjAyMgkAAAABMKTSlbvet9sIQdEW4N632wgrQ0lRLlRTRTo2NTAxLklRX0FTU0VUX1RVUk5TLjEwMDAuMTIvMzEvMjAyMQEAAACbLQIAAgAAAAgwLjgwMTQ3MQEIAAAABQAAAAExAQAAAAstMjA4ODgyMTY0OQMAAAACNzkCAAAABDQxNzcEAAAAATAHAAAACjEyLzMxLzIwMjEIAAAACTMvMzEvMjAyMQkAAAABMKTSlbvet9sIqJzAu9632wgvQ0lRLlRTRTo2NTAxLklRX0lOVkVOVE9SWV9UVVJOUy4xMDAwLjEyLzMxLzIwMTUBAAAAmy0CAAIAAAAINS4xNDY4ODgBCAAAAAUAAAABMQEAAAAKMTc0NTI3MDY3MgMAAAACNzkCAAAABDQwODIEAAAAATAHAAAACjEyLzMxLzIwMTUIAAAACTMvMzEvMjAxNQkAAAABMKTSlbvet9sI7Tp939632wgpQ0lRLk5ZU0U6QUdDTy5JUV9BUl9UVVJOUy4xMDAwLjEyLzMxLzIwMTcBAAAAT9gEAAIAAAAIOC42OTg4MTYBCAAAAAUAAAABMQEAAAAKMjAxODM2MDgyMwMAAAADMTYwAgAAAAQ0MDAxBAAAAAEwBwAAAAoxMi8zMS8yMDE3CAAAAAoxMi8zMS8yMDE3CQAAAAEwpNKVu9632whB0Rbg3rfbCCtDSVEuTllTRTpURVguSVFfQVNTRVRfVFVSTlMuMTAwMC4xMi8zMS8yMDEzAQAAAA6zBAACAAAACDEuMDY2NjM0AQgA</t>
  </si>
  <si>
    <t>AAAFAAAAATEBAAAACjE3NzcyNzk2MTMDAAAAAzE2MAIAAAAENDE3NwQAAAABMAcAAAAKMTIvMzEvMjAxMwgAAAAKMTIvMzEvMjAxMwkAAAABMKTSlbvet9sIqJzAu9632wgrQ0lRLlRTRTo2MzI2LklRX0FTU0VUX1RVUk5TLjEwMDAuMTIvMzEvMjAxOQEAAAAZVwQAAgAAAAgwLjYzNjMwNQEIAAAABQAAAAExAQAAAAoyMDg1Mjg4MjAxAwAAAAI3OQIAAAAENDE3NwQAAAABMAcAAAAKMTIvMzEvMjAxOQgAAAAKMTIvMzEvMjAxOQkAAAABMKTSlbvet9sIQdEW4N632wgvQ0lRLlRTRTo2NTAxLklRX0lOVkVOVE9SWV9UVVJOUy4xMDAwLjEyLzMxLzIwMTQBAAAAmy0CAAIAAAAHNS4xNjc2NgEIAAAABQAAAAExAQAAAAoxNzQ1MjcwNTQ0AwAAAAI3OQIAAAAENDA4MgQAAAABMAcAAAAKMTIvMzEvMjAxNAgAAAAJMy8zMS8yMDE0CQAAAAEwpNKVu9632wjtOn3f3rfbCDRDSVEuTkFTREFRQ006VE9STy5JUV9JTlZFTlRPUllfVFVSTlMuMTAwMC4xMi8zMC8yMDE2AQAAAHl7NmwDAAAAAACk0pW73rfbCEHRFuDet9sIKUNJUS5OWVNFOkFHQ08uSVFfQVJfVFVSTlMuMTAwMC4xMi8zMC8yMDE2AQAAAE/YBAACAAAACDguMjk0MjM1AQgAAAAFAAAAATEBAAAACjE4NzY3MzQ1NDADAAAAAzE2MAIAAAAENDAwMQQAAAABMAcAAAAKMTIvMzAvMjAxNggAAAAKMTIvMzEvMjAxNQkAAAABMKTSlbvet9sIQdEW4N632wgrQ0lR</t>
  </si>
  <si>
    <t>LlRTRTo2MzI2LklRX0FTU0VUX1RVUk5TLjEwMDAuMTIvMzEvMjAxOAEAAAAZVwQAAgAAAAgwLjY0MzYzNAEIAAAABQAAAAExAQAAAAoyMDIzMDU2MDk3AwAAAAI3OQIAAAAENDE3NwQAAAABMAcAAAAKMTIvMzEvMjAxOAgAAAAKMTIvMzEvMjAxOAkAAAABMKTSlbvet9sIQdEW4N632wgvQ0lRLlRTRTo2NTAxLklRX0lOVkVOVE9SWV9UVVJOUy4xMDAwLjEyLzMxLzIwMTMBAAAAmy0CAAIAAAAINC4xMTEyNzkBCAAAAAUAAAABMQEAAAAKMTY4NTUyMTcyMgMAAAACNzkCAAAABDQwODIEAAAAATAHAAAACjEyLzMxLzIwMTMIAAAACTMvMzEvMjAxMwkAAAABMKTSlbvet9sI7Tp939632wg0Q0lRLk5BU0RBUUNNOlRPUk8uSVFfSU5WRU5UT1JZX1RVUk5TLjEwMDAuMTIvMzEvMjAxNQEAAAB5ezZsAwAAAAAApNKVu9632wjtOn3f3rfbCClDSVEuTllTRTpBR0NPLklRX0FSX1RVUk5TLjEwMDAuMTIvMzEvMjAxNQEAAABP2AQAAgAAAAg4LjI5NDIzNQEIAAAABQAAAAExAQAAAAoxODc2NzM0NTQwAwAAAAMxNjACAAAABDQwMDEEAAAAATAHAAAACjEyLzMxLzIwMTUIAAAACjEyLzMxLzIwMTUJAAAAATCk0pW73rfbCO06fd/et9sIK0NJUS5OWVNFOkNBVC5JUV9BU1NFVF9UVVJOUy4xMDAwLjEyLzMxLzIwMjIBAAAAMvUDAAIAAAAIMC43MjE0ODEBCAAAAAUAAAABMQEAAAALLTIwNjA4ODE5MzcDAAAAAzE2MAIAAAAE</t>
  </si>
  <si>
    <t>NDE3NwQAAAABMAcAAAAKMTIvMzEvMjAyMggAAAAKMTIvMzEvMjAyMgkAAAABMKTSlbvet9sIl3XAu9632wgrQ0lRLlRTRTo2MzI2LklRX0FTU0VUX1RVUk5TLjEwMDAuMTIvMzEvMjAxNwEAAAAZVwQAAgAAAAgwLjYzNDA5NQEIAAAABQAAAAExAQAAAAoxODc5NTk0OTQyAwAAAAI3OQIAAAAENDE3NwQAAAABMAcAAAAKMTIvMzEvMjAxNwgAAAAKMTIvMzEvMjAxNwkAAAABMKTSlbvet9sIQdEW4N632wg0Q0lRLk5BU0RBUUNNOlRPUk8uSVFfSU5WRU5UT1JZX1RVUk5TLjEwMDAuMTIvMzEvMjAxNAEAAAB5ezZsAwAAAAAApNKVu9632wjtOn3f3rfbCChDSVEuVFNFOjY1MDEuSVFfQVJfVFVSTlMuMTAwMC4xMi8zMS8yMDE4AQAAAJstAgACAAAABzMuNzk3MTQBCAAAAAUAAAABMQEAAAAKMTk2OTkwMzI5MQMAAAACNzkCAAAABDQwMDEEAAAAATAHAAAACjEyLzMxLzIwMTgIAAAACTMvMzEvMjAxOAkAAAABMKTSlbvet9sIQdEW4N632wgpQ0lRLk5ZU0U6QUdDTy5JUV9BUl9UVVJOUy4xMDAwLjEyLzMxLzIwMTQBAAAAT9gEAAIAAAAJMTAuMjExODI1AQgAAAAFAAAAATEBAAAACjE4Mjk5NTA5NzgDAAAAAzE2MAIAAAAENDAwMQQAAAABMAcAAAAKMTIvMzEvMjAxNAgAAAAKMTIvMzEvMjAxNAkAAAABMKTSlbvet9sI7Tp939632wgrQ0lRLk5ZU0U6Q0FULklRX0FTU0VUX1RVUk5TLjEwMDAuMTIvMzEvMjAyMQEA</t>
  </si>
  <si>
    <t>AAAy9QMAAgAAAAcwLjYzMjcyAQgAAAAFAAAAATEBAAAACy0yMDYwODgxOTQxAwAAAAMxNjACAAAABDQxNzcEAAAAATAHAAAACjEyLzMxLzIwMjEIAAAACjEyLzMxLzIwMjEJAAAAATCk0pW73rfbCJd1wLvet9sIK0NJUS5UU0U6NjMyNi5JUV9BU1NFVF9UVVJOUy4xMDAwLjEyLzMwLzIwMTYBAAAAGVcEAAMAAAAAAKTSlbvet9sIQdEW4N632wgyQ0lRLlNIU0U6NjAwMDMxLklRX0lOVkVOVE9SWV9UVVJOUy4xMDAwLjEyLzMxLzIwMjABAAAAL1BZAAIAAAAINC4xODc5MTYBCAAAAAUAAAABMQEAAAALLTIxMDIwODEwMTcDAAAAAjMyAgAAAAQ0MDgyBAAAAAEwBwAAAAoxMi8zMS8yMDIwCAAAAAoxMi8zMS8yMDIwCQAAAAEwpNKVu9632wir9xbg3rfbCDRDSVEuTkFTREFRQ006VE9STy5JUV9JTlZFTlRPUllfVFVSTlMuMTAwMC4xMi8zMS8yMDEzAQAAAHl7NmwDAAAAAACk0pW73rfbCO06fd/et9sIKENJUS5UU0U6NjUwMS5JUV9BUl9UVVJOUy4xMDAwLjEyLzMxLzIwMTcBAAAAmy0CAAIAAAAIMy4zNzcyMjEBCAAAAAUAAAABMQEAAAAKMTk2MzMxNTkwMAMAAAACNzkCAAAABDQwMDEEAAAAATAHAAAACjEyLzMxLzIwMTcIAAAACTMvMzEvMjAxNwkAAAABMKTSlbvet9sIQdEW4N632wgtQ0lRLk5BU0RBUUNNOlRPUk8uSVFfQVJfVFVSTlMuMTAwMC4xMi8zMS8yMDIxAQAAAHl7NmwDAAAAAACk0pW73rfbCEHR</t>
  </si>
  <si>
    <t>FuDet9sIK0NJUS5OWVNFOkNBVC5JUV9BU1NFVF9UVVJOUy4xMDAwLjEyLzMxLzIwMjABAAAAMvUDAAIAAAAIMC41MzI1NzgBCAAAAAUAAAABMQEAAAALLTIwNjA4ODE5MzYDAAAAAzE2MAIAAAAENDE3NwQAAAABMAcAAAAKMTIvMzEvMjAyMAgAAAAKMTIvMzEvMjAyMAkAAAABMKTSlbvet9sIl3XAu9632wgrQ0lRLlRTRTo2MzI2LklRX0FTU0VUX1RVUk5TLjEwMDAuMTIvMzEvMjAxNQEAAAAZVwQAAwAAAAAApNKVu9632wjtOn3f3rfbCC9DSVEuTlNFSTpNJk0uSVFfSU5WRU5UT1JZX1RVUk5TLjEwMDAuMTIvMzEvMjAyMQEAAABCZw0AAgAAAAgzLjc0OTE0MwEIAAAABQAAAAExAQAAAAstMjA4OTc0NDAyMAMAAAACNzICAAAABDQwODIEAAAAATAHAAAACjEyLzMxLzIwMjEIAAAACTMvMzEvMjAyMQkAAAABMKTSlbvet9sIq/cW4N632wgoQ0lRLlRTRTo2NTAxLklRX0FSX1RVUk5TLjEwMDAuMTIvMzAvMjAxNgEAAACbLQIAAgAAAAgzLjIzNjA1MwEIAAAABQAAAAExAQAAAAoxNzk3NTU0NDUxAwAAAAI3OQIAAAAENDAwMQQAAAABMAcAAAAKMTIvMzAvMjAxNggAAAAJMy8zMS8yMDE2CQAAAAEwpNKVu9632wir9xbg3rfbCC1DSVEuTkFTREFRQ006VE9STy5JUV9BUl9UVVJOUy4xMDAwLjEyLzMxLzIwMjABAAAAeXs2bAMAAAAAAKTSlbvet9sIq/cW4N632wgqQ0lRLk5ZU0U6REUuSVFfQVNTRVRfVFVSTlMu</t>
  </si>
  <si>
    <t>MTAwMC4xMi8zMS8yMDE1AQAAAIAPBAACAAAACDAuNDgyNTU5AQgAAAAFAAAAATEBAAAACjE4Njk5NzE4MDEDAAAAAzE2MAIAAAAENDE3NwQAAAABMAcAAAAKMTIvMzEvMjAxNQgAAAAJMTEvMS8yMDE1CQAAAAEwpNKVu9632wiM2Hrf3rfbCCtDSVEuVFNFOjYzMjYuSVFfQVNTRVRfVFVSTlMuMTAwMC4xMi8zMS8yMDE0AQAAABlXBAACAAAABzAuNzY0NTgBCAAAAAUAAAABMQEAAAAKMTc4MjQ0NjM1NQMAAAACNzkCAAAABDQxNzcEAAAAATAHAAAACjEyLzMxLzIwMTQIAAAACTMvMzEvMjAxNAkAAAABMKTSlbvet9sI7Tp939632wgvQ0lRLk5TRUk6TSZNLklRX0lOVkVOVE9SWV9UVVJOUy4xMDAwLjEyLzMxLzIwMTMBAAAAQmcNAAIAAAAINS43NzEyODkBCAAAAAUAAAABMQEAAAAKMTY5MDEwMjI3NQMAAAACNzICAAAABDQwODIEAAAAATAHAAAACjEyLzMxLzIwMTMIAAAACTMvMzEvMjAxMwkAAAABMKTSlbvet9sI7Tp939632wgoQ0lRLlRTRTo2NTAxLklRX0FSX1RVUk5TLjEwMDAuMTIvMzEvMjAxNQEAAACbLQIAAgAAAAgzLjQ2MDU1NAEIAAAABQAAAAExAQAAAAoxNzQ1MjcwNjcyAwAAAAI3OQIAAAAENDAwMQQAAAABMAcAAAAKMTIvMzEvMjAxNQgAAAAJMy8zMS8yMDE1CQAAAAEwpNKVu9632wjtOn3f3rfbCC1DSVEuTkFTREFRQ006VE9STy5JUV9BUl9UVVJOUy4xMDAwLjEyLzMxLzIwMTkBAAAAeXs2</t>
  </si>
  <si>
    <t>bAMAAAAAAKTSlbvet9sIq/cW4N632wgqQ0lRLk5ZU0U6REUuSVFfQVNTRVRfVFVSTlMuMTAwMC4xMi8zMS8yMDE0AQAAAIAPBAACAAAACDAuNTk2NTY3AQgAAAAFAAAAATEBAAAACjE4MjI5Njg2ODUDAAAAAzE2MAIAAAAENDE3NwQAAAABMAcAAAAKMTIvMzEvMjAxNAgAAAAKMTAvMzEvMjAxNAkAAAABMKTSlbvet9sIjNh639632wgrQ0lRLlRTRTo2MzI2LklRX0FTU0VUX1RVUk5TLjEwMDAuMTIvMzEvMjAxMwEAAAAZVwQAAgAAAAgwLjcyNjEzNQEIAAAABQAAAAExAQAAAAoxNzQzNTY1NzI5AwAAAAI3OQIAAAAENDE3NwQAAAABMAcAAAAKMTIvMzEvMjAxMwgAAAAJMy8zMS8yMDEzCQAAAAEwpNKVu9632wiM2Hrf3rfbCC1DSVEuTkFTREFRQ006VE9STy5JUV9BUl9UVVJOUy4xMDAwLjEyLzMxLzIwMTgBAAAAeXs2bAMAAAAAAKTSlbvet9sIq/cW4N632wgqQ0lRLk5ZU0U6REUuSVFfQVNTRVRfVFVSTlMuMTAwMC4xMi8zMS8yMDEzAQAAAIAPBAACAAAACDAuNjUyNTgzAQgAAAAFAAAAATEBAAAACjE3NzQyNzQxNzcDAAAAAzE2MAIAAAAENDE3NwQAAAABMAcAAAAKMTIvMzEvMjAxMwgAAAAKMTAvMzEvMjAxMwkAAAABMKTSlbvet9sIjNh639632wgvQ0lRLlRTRTo2MzI2LklRX0lOVkVOVE9SWV9UVVJOUy4xMDAwLjEyLzMxLzIwMjIBAAAAGVcEAAIAAAAIMy40MzM4NDMBCAAAAAUAAAABMQEAAAALLTIw</t>
  </si>
  <si>
    <t>NTU2MTY0MzQDAAAAAjc5AgAAAAQ0MDgyBAAAAAEwBwAAAAoxMi8zMS8yMDIyCAAAAAoxMi8zMS8yMDIyCQAAAAEwpNKVu9632wir9xbg3rfbCCtDSVEuU0hTRTo2MDAwMzEuSVFfQVJfVFVSTlMuMTAwMC4xMi8zMS8yMDIyAQAAAC9QWQACAAAABzIuNzA1NDkBCAAAAAUAAAABMQEAAAALLTIwNTI1NTk0NzQDAAAAAjMyAgAAAAQ0MDAxBAAAAAEwBwAAAAoxMi8zMS8yMDIyCAAAAAoxMi8zMS8yMDIyCQAAAAEwpNKVu9632wir9xbg3rfbCC1DSVEuTkFTREFRQ006VE9STy5JUV9BUl9UVVJOUy4xMDAwLjEyLzMxLzIwMTUBAAAAeXs2bAMAAAAAAKTSlbvet9sIjNh639632wgsQ0lRLk5ZU0U6QUdDTy5JUV9BU1NFVF9UVVJOUy4xMDAwLjEyLzMxLzIwMTgBAAAAT9gEAAIAAAAHMS4xOTkxMgEIAAAABQAAAAExAQAAAAoyMDgyNDk3NzEzAwAAAAMxNjACAAAABDQxNzcEAAAAATAHAAAACjEyLzMxLzIwMTgIAAAACjEyLzMxLzIwMTgJAAAAATCk0pW73rfbCKv3FuDet9sIL0NJUS5UU0U6NjMyNi5JUV9JTlZFTlRPUllfVFVSTlMuMTAwMC4xMi8zMS8yMDIxAQAAABlXBAACAAAACDMuNTQwMzgxAQgAAAAFAAAAATEBAAAACy0yMTA3NzE0MDE0AwAAAAI3OQIAAAAENDA4MgQAAAABMAcAAAAKMTIvMzEvMjAyMQgAAAAKMTIvMzEvMjAyMQkAAAABMKTSlbvet9sIq/cW4N632wgrQ0lRLlNIU0U6NjAwMDMxLklRX0FS</t>
  </si>
  <si>
    <t>X1RVUk5TLjEwMDAuMTIvMzEvMjAxNAEAAAAvUFkAAgAAAAgxLjQ0ODMzNwEIAAAABQAAAAExAQAAAAoxNzg5MDA4MTM4AwAAAAIzMgIAAAAENDAwMQQAAAABMAcAAAAKMTIvMzEvMjAxNAgAAAAKMTIvMzEvMjAxNAkAAAABMKTSlbvet9sIjNh639632wgtQ0lRLk5BU0RBUUNNOlRPUk8uSVFfQVJfVFVSTlMuMTAwMC4xMi8zMS8yMDE0AQAAAHl7NmwDAAAAAACk0pW73rfbCIzYet/et9sIK0NJUS5UU0U6NjUwMS5JUV9BU1NFVF9UVVJOUy4xMDAwLjEyLzMxLzIwMjABAAAAmy0CAAIAAAAGMC44OTY2AQgAAAAFAAAAATEBAAAACy0yMTIwNTU3NDg2AwAAAAI3OQIAAAAENDE3NwQAAAABMAcAAAAKMTIvMzEvMjAyMAgAAAAJMy8zMS8yMDIwCQAAAAEwpNKVu9632wjeTsC73rfbCCxDSVEuTllTRTpBR0NPLklRX0FTU0VUX1RVUk5TLjEwMDAuMTIvMzEvMjAxNwEAAABP2AQAAgAAAAgxLjA5NzI4NAEIAAAABQAAAAExAQAAAAoyMDE4MzYwODIzAwAAAAMxNjACAAAABDQxNzcEAAAAATAHAAAACjEyLzMxLzIwMTcIAAAACjEyLzMxLzIwMTcJAAAAATCk0pW73rfbCKv3FuDet9sIL0NJUS5UU0U6NjMyNi5JUV9JTlZFTlRPUllfVFVSTlMuMTAwMC4xMi8zMS8yMDIwAQAAABlXBAACAAAACDMuNDg1OTQ4AQgAAAAFAAAAATEBAAAACy0yMTA3NzE0MDA4AwAAAAI3OQIAAAAENDA4MgQAAAABMAcAAAAKMTIvMzEvMjAy</t>
  </si>
  <si>
    <t>MAgAAAAKMTIvMzEvMjAyMAkAAAABMKTSlbvet9sIq/cW4N632wgrQ0lRLlNIU0U6NjAwMDMxLklRX0FSX1RVUk5TLjEwMDAuMTIvMzEvMjAxMwEAAAAvUFkAAgAAAAgxLjk4ODczMwEIAAAABQAAAAExAQAAAAoxNzI5NTQ1Njc2AwAAAAIzMgIAAAAENDAwMQQAAAABMAcAAAAKMTIvMzEvMjAxMwgAAAAKMTIvMzEvMjAxMwkAAAABMKTSlbvet9sIjNh639632wgtQ0lRLk5BU0RBUUNNOlRPUk8uSVFfQVJfVFVSTlMuMTAwMC4xMi8zMS8yMDEzAQAAAHl7NmwDAAAAAACk0pW73rfbCIzYet/et9sIK0NJUS5UU0U6NjUwMS5JUV9BU1NFVF9UVVJOUy4xMDAwLjEyLzMxLzIwMTkBAAAAmy0CAAIAAAAHMC45NjA4OAEIAAAABQAAAAExAQAAAAoyMDYyOTM4MDIzAwAAAAI3OQIAAAAENDE3NwQAAAABMAcAAAAKMTIvMzEvMjAxOQgAAAAJMy8zMS8yMDE5CQAAAAEwpNKVu9632wjeTsC73rfbCCxDSVEuTllTRTpBR0NPLklRX0FTU0VUX1RVUk5TLjEwMDAuMTIvMzAvMjAxNgEAAABP2AQAAgAAAAgxLjA3NzAyNwEIAAAABQAAAAExAQAAAAoxODc2NzM0NTQwAwAAAAMxNjACAAAABDQxNzcEAAAAATAHAAAACjEyLzMwLzIwMTYIAAAACjEyLzMxLzIwMTUJAAAAATCk0pW73rfbCKv3FuDet9sIL0NJUS5UU0U6NjMyNi5JUV9JTlZFTlRPUllfVFVSTlMuMTAwMC4xMi8zMS8yMDE5AQAAABlXBAACAAAACDMuNjEyMDQ4AQgA</t>
  </si>
  <si>
    <t>AAAFAAAAATEBAAAACjIwODUyODgyMDEDAAAAAjc5AgAAAAQ0MDgyBAAAAAEwBwAAAAoxMi8zMS8yMDE5CAAAAAoxMi8zMS8yMDE5CQAAAAEwpNKVu9632whwHhfg3rfbCCtDSVEuVFNFOjY1MDEuSVFfQVNTRVRfVFVSTlMuMTAwMC4xMi8zMS8yMDE4AQAAAJstAgACAAAACDAuOTQ3NzM1AQgAAAAFAAAAATEBAAAACjE5Njk5MDMyOTEDAAAAAjc5AgAAAAQ0MTc3BAAAAAEwBwAAAAoxMi8zMS8yMDE4CAAAAAkzLzMxLzIwMTgJAAAAATCk0pW73rfbCMgnwLvet9sILENJUS5OWVNFOkFHQ08uSVFfQVNTRVRfVFVSTlMuMTAwMC4xMi8zMS8yMDE1AQAAAE/YBAACAAAACDEuMDc3MDI3AQgAAAAFAAAAATEBAAAACjE4NzY3MzQ1NDADAAAAAzE2MAIAAAAENDE3NwQAAAABMAcAAAAKMTIvMzEvMjAxNQgAAAAKMTIvMzEvMjAxNQkAAAABMKTSlbvet9sIjNh639632wgvQ0lRLk5ZU0U6Q0FULklRX0lOVkVOVE9SWV9UVVJOUy4xMDAwLjEyLzMxLzIwMjABAAAAMvUDAAIAAAAIMi41NjU5MDcBCAAAAAUAAAABMQEAAAALLTIwNjA4ODE5MzYDAAAAAzE2MAIAAAAENDA4MgQAAAABMAcAAAAKMTIvMzEvMjAyMAgAAAAKMTIvMzEvMjAyMAkAAAABMKTSlbvet9sIcB4X4N632wgvQ0lRLlRTRTo2MzI2LklRX0lOVkVOVE9SWV9UVVJOUy4xMDAwLjEyLzMxLzIwMTgBAAAAGVcEAAIAAAAIMy42MDg1NjgBCAAAAAUAAAABMQEA</t>
  </si>
  <si>
    <t>AAAKMjAyMzA1NjA5NwMAAAACNzkCAAAABDQwODIEAAAAATAHAAAACjEyLzMxLzIwMTgIAAAACjEyLzMxLzIwMTgJAAAAATCk0pW73rfbCKv3FuDet9sIKUNJUS5OWVNFOkNOSEkuSVFfQVJfVFVSTlMuMTAwMC4xMi8zMS8yMDIyAQAAAE5iGQYCAAAACjExOC4zNTcxNDIBCAAAAAUAAAABMQEAAAALLTIwNTkwMTI1ODQDAAAAAzE2MAIAAAAENDAwMQQAAAABMAcAAAAKMTIvMzEvMjAyMggAAAAKMTIvMzEvMjAyMgkAAAABMKTSlbvet9sIcB4X4N632wgoQ0lRLk5TRUk6TSZNLklRX0FSX1RVUk5TLjEwMDAuMTIvMzEvMjAxNQEAAABCZw0AAgAAAAkxMS4zMTMwMzkBCAAAAAUAAAABMQEAAAAKMTc5OTI5NjU3MAMAAAACNzICAAAABDQwMDEEAAAAATAHAAAACjEyLzMxLzIwMTUIAAAACTMvMzEvMjAxNQkAAAABMKTSlbvet9sIjNh639632wgrQ0lRLlRTRTo2NTAxLklRX0FTU0VUX1RVUk5TLjEwMDAuMTIvMzEvMjAxNwEAAACbLQIAAgAAAAgwLjgyNDg3NAEIAAAABQAAAAExAQAAAAoxOTYzMzE1OTAwAwAAAAI3OQIAAAAENDE3NwQAAAABMAcAAAAKMTIvMzEvMjAxNwgAAAAJMy8zMS8yMDE3CQAAAAEwpNKVu9632wjIJ8C73rfbCCxDSVEuTllTRTpBR0NPLklRX0FTU0VUX1RVUk5TLjEwMDAuMTIvMzEvMjAxNAEAAABP2AQAAgAAAAgxLjIzMDI1NgEIAAAABQAAAAExAQAAAAoxODI5OTUwOTc4AwAAAAMxNjAC</t>
  </si>
  <si>
    <t>AAAABDQxNzcEAAAAATAHAAAACjEyLzMxLzIwMTQIAAAACjEyLzMxLzIwMTQJAAAAATCk0pW73rfbCIzYet/et9sIL0NJUS5OWVNFOkNBVC5JUV9JTlZFTlRPUllfVFVSTlMuMTAwMC4xMi8zMS8yMDE5AQAAADL1AwACAAAACDMuMjEzODYyAQgAAAAFAAAAATEBAAAACy0yMTEyMTU3MTU5AwAAAAMxNjACAAAABDQwODIEAAAAATAHAAAACjEyLzMxLzIwMTkIAAAACjEyLzMxLzIwMTkJAAAAATCk0pW73rfbCHAeF+Det9sIMENJUS5OWVNFOkFHQ08uSVFfSU5WRU5UT1JZX1RVUk5TLjEwMDAuMTIvMzEvMjAyMQEAAABP2AQAAgAAAAgzLjc1MDM1NQEIAAAABQAAAAExAQAAAAstMjA1OTAxMjU0NQMAAAADMTYwAgAAAAQ0MDgyBAAAAAEwBwAAAAoxMi8zMS8yMDIxCAAAAAoxMi8zMS8yMDIxCQAAAAEwpNKVu9632whwHhfg3rfbCClDSVEuTllTRTpDTkhJLklRX0FSX1RVUk5TLjEwMDAuMTIvMzEvMjAyMQEAAABOYhkGAgAAAAk1MS4wMDg1OTUBCAAAAAUAAAABMQEAAAALLTIwNTkwMTI2MDMDAAAAAzE2MAIAAAAENDAwMQQAAAABMAcAAAAKMTIvMzEvMjAyMQgAAAAKMTIvMzEvMjAyMQkAAAABMKTSlbvet9sIcB4X4N632wgoQ0lRLk5TRUk6TSZNLklRX0FSX1RVUk5TLjEwMDAuMTIvMzEvMjAxNAEAAABCZw0AAgAAAAkxMi4yNzgyMTkBCAAAAAUAAAABMQEAAAAKMTc0NTcyODc2MwMAAAACNzICAAAABDQwMDEE</t>
  </si>
  <si>
    <t>AAAAATAHAAAACjEyLzMxLzIwMTQIAAAACTMvMzEvMjAxNAkAAAABMKTSlbvet9sIjNh639632wgrQ0lRLlRTRTo2NTAxLklRX0FTU0VUX1RVUk5TLjEwMDAuMTIvMzAvMjAxNgEAAACbLQIAAgAAAAgwLjgwMzIzNAEIAAAABQAAAAExAQAAAAoxNzk3NTU0NDUxAwAAAAI3OQIAAAAENDE3NwQAAAABMAcAAAAKMTIvMzAvMjAxNggAAAAJMy8zMS8yMDE2CQAAAAEwpNKVu9632wjIJ8C73rfbCC9DSVEuTllTRTpDQVQuSVFfSU5WRU5UT1JZX1RVUk5TLjEwMDAuMTIvMzEvMjAxOAEAAAAy9QMAAgAAAAgzLjQzNDA3NAEIAAAABQAAAAExAQAAAAoyMDgwNjQ4MTQzAwAAAAMxNjACAAAABDQwODIEAAAAATAHAAAACjEyLzMxLzIwMTgIAAAACjEyLzMxLzIwMTgJAAAAATCk0pW73rfbCHAeF+Det9sIMENJUS5OWVNFOkFHQ08uSVFfSU5WRU5UT1JZX1RVUk5TLjEwMDAuMTIvMzEvMjAyMAEAAABP2AQAAgAAAAgzLjQ5OTY0MgEIAAAABQAAAAExAQAAAAstMjA1OTAxMjU3NwMAAAADMTYwAgAAAAQ0MDgyBAAAAAEwBwAAAAoxMi8zMS8yMDIwCAAAAAoxMi8zMS8yMDIwCQAAAAEwpNKVu9632whwHhfg3rfbCChDSVEuTlNFSTpNJk0uSVFfQVJfVFVSTlMuMTAwMC4xMi8zMS8yMDEzAQAAAEJnDQACAAAACDExLjkwNzEyAQgAAAAFAAAAATEBAAAACjE2OTAxMDIyNzUDAAAAAjcyAgAAAAQ0MDAxBAAAAAEwBwAAAAoxMi8z</t>
  </si>
  <si>
    <t>MS8yMDEzCAAAAAkzLzMxLzIwMTMJAAAAATCk0pW73rfbCIzYet/et9sIK0NJUS5UU0U6NjUwMS5JUV9BU1NFVF9UVVJOUy4xMDAwLjEyLzMxLzIwMTUBAAAAmy0CAAIAAAAHMC44MzA3OAEIAAAABQAAAAExAQAAAAoxNzQ1MjcwNjcyAwAAAAI3OQIAAAAENDE3NwQAAAABMAcAAAAKMTIvMzEvMjAxNQgAAAAJMy8zMS8yMDE1CQAAAAEwpNKVu9632wjIJ8C73rfbCC9DSVEuTllTRTpDQVQuSVFfSU5WRU5UT1JZX1RVUk5TLjEwMDAuMTIvMzEvMjAxNwEAAAAy9QMAAgAAAAgzLjM1NTUxNwEIAAAABQAAAAExAQAAAAoyMDE1ODY5MjE3AwAAAAMxNjACAAAABDQwODIEAAAAATAHAAAACjEyLzMxLzIwMTcIAAAACjEyLzMxLzIwMTcJAAAAATCk0pW73rfbCHAeF+Det9sIMENJUS5OWVNFOkFHQ08uSVFfSU5WRU5UT1JZX1RVUk5TLjEwMDAuMTIvMzEvMjAxOQEAAABP2AQAAgAAAAYzLjUzOTcBCAAAAAUAAAABMQEAAAALLTIxMTA0NTcyODgDAAAAAzE2MAIAAAAENDA4MgQAAAABMAcAAAAKMTIvMzEvMjAxOQgAAAAKMTIvMzEvMjAxOQkAAAABMKTSlbvet9sIcB4X4N632wgrQ0lRLlRTRTo2NTAxLklRX0FTU0VUX1RVUk5TLjEwMDAuMTIvMzEvMjAxNAEAAACbLQIAAgAAAAcwLjkyNDY5AQgAAAAFAAAAATEBAAAACjE3NDUyNzA1NDQDAAAAAjc5AgAAAAQ0MTc3BAAAAAEwBwAAAAoxMi8zMS8yMDE0CAAAAAkzLzMx</t>
  </si>
  <si>
    <t>LzIwMTQJAAAAATCk0pW73rfbCG0AwLvet9sIMENJUS5OQVNEQVFDTTpUT1JPLklRX0FTU0VUX1RVUk5TLjEwMDAuMTIvMzEvMjAyMgEAAAB5ezZsAgAAAAgwLjc5NDg1MgEIAAAABQAAAAExAQAAAAstMjAzMzM0NjkwMAMAAAADMTYwAgAAAAQ0MTc3BAAAAAEwBwAAAAoxMi8zMS8yMDIyCAAAAAoxMi8zMS8yMDIyCQAAAAEwpNKVu9632whwHhfg3rfbCC9DSVEuTllTRTpDQVQuSVFfSU5WRU5UT1JZX1RVUk5TLjEwMDAuMTIvMzEvMjAxMwEAAAAy9QMAAgAAAAcyLjg5MTMxAQgAAAAFAAAAATEBAAAACjE3NzY0NDIxMDIDAAAAAzE2MAIAAAAENDA4MgQAAAABMAcAAAAKMTIvMzEvMjAxMwgAAAAKMTIvMzEvMjAxMwkAAAABMKTSlbvet9sIjNh639632wgwQ0lRLk5ZU0U6QUdDTy5JUV9JTlZFTlRPUllfVFVSTlMuMTAwMC4xMi8zMS8yMDE4AQAAAE/YBAACAAAACDMuODkwMDQ2AQgAAAAFAAAAATEBAAAACjIwODI0OTc3MTMDAAAAAzE2MAIAAAAENDA4MgQAAAABMAcAAAAKMTIvMzEvMjAxOAgAAAAKMTIvMzEvMjAxOAkAAAABMKTSlbvet9sIcB4X4N632wgoQ0lRLk5ZU0U6Q0FULklRX0FSX1RVUk5TLjEwMDAuMTIvMzEvMjAyMgEAAAAy9QMAAgAAAAg2LjcyOTc5MgEIAAAABQAAAAExAQAAAAstMjA2MDg4MTkzNwMAAAADMTYwAgAAAAQ0MDAxBAAAAAEwBwAAAAoxMi8zMS8yMDIyCAAAAAoxMi8zMS8yMDIy</t>
  </si>
  <si>
    <t>CQAAAAEwpNKVu9632whwHhfg3rfbCCtDSVEuVFNFOjY1MDEuSVFfQVNTRVRfVFVSTlMuMTAwMC4xMi8zMS8yMDEzAQAAAJstAgACAAAACDAuOTQwNDE4AQgAAAAFAAAAATEBAAAACjE2ODU1MjE3MjIDAAAAAjc5AgAAAAQ0MTc3BAAAAAEwBwAAAAoxMi8zMS8yMDEzCAAAAAkzLzMxLzIwMTMJAAAAATCk0pW73rfbCG0AwLvet9sIMENJUS5OQVNEQVFDTTpUT1JPLklRX0FTU0VUX1RVUk5TLjEwMDAuMTIvMzEvMjAyMQEAAAB5ezZsAwAAAAAApNKVu9632whwHhfg3rfbCDBDSVEuTllTRTpBR0NPLklRX0lOVkVOVE9SWV9UVVJOUy4xMDAwLjEyLzMxLzIwMTQBAAAAT9gEAAIAAAAINC4wNjU3MzIBCAAAAAUAAAABMQEAAAAKMTgyOTk1MDk3OAMAAAADMTYwAgAAAAQ0MDgyBAAAAAEwBwAAAAoxMi8zMS8yMDE0CAAAAAoxMi8zMS8yMDE0CQAAAAEwpNKVu9632wiM2Hrf3rfbCChDSVEuTllTRTpDQVQuSVFfQVJfVFVSTlMuMTAwMC4xMi8zMS8yMDIxAQAAADL1AwACAAAACDYuMjU1MzM4AQgAAAAFAAAAATEBAAAACy0yMDYwODgxOTQxAwAAAAMxNjACAAAABDQwMDEEAAAAATAHAAAACjEyLzMxLzIwMjEIAAAACjEyLzMxLzIwMjEJAAAAATCk0pW73rfbCHAeF+Det9sIMENJUS5OQVNEQVFDTTpUT1JPLklRX0FTU0VUX1RVUk5TLjEwMDAuMTIvMzEvMjAyMAEAAAB5ezZsAwAAAAAApNKVu9632whwHhfg3rfbCDBD</t>
  </si>
  <si>
    <t>SVEuTllTRTpBR0NPLklRX0lOVkVOVE9SWV9UVVJOUy4xMDAwLjEyLzMxLzIwMTMBAAAAT9gEAAIAAAAHNC41MTUxMQEIAAAABQAAAAExAQAAAAoxNzc4MTg1MDg4AwAAAAMxNjACAAAABDQwODIEAAAAATAHAAAACjEyLzMxLzIwMTMIAAAACjEyLzMxLzIwMTMJAAAAATCk0pW73rfbCIzYet/et9sIKENJUS5OWVNFOkNBVC5JUV9BUl9UVVJOUy4xMDAwLjEyLzMxLzIwMjABAAAAMvUDAAIAAAAINC45ODMwMTYBCAAAAAUAAAABMQEAAAALLTIwNjA4ODE5MzYDAAAAAzE2MAIAAAAENDAwMQQAAAABMAcAAAAKMTIvMzEvMjAyMAgAAAAKMTIvMzEvMjAyMAkAAAABMKTSlbvet9sIcB4X4N632wgrQ0lRLk5TRUk6TSZNLklRX0FTU0VUX1RVUk5TLjEwMDAuMTIvMzEvMjAxNQEAAABCZw0AAgAAAAgwLjc3NjA1NAEIAAAABQAAAAExAQAAAAoxNzk5Mjk2NTcwAwAAAAI3MgIAAAAENDE3NwQAAAABMAcAAAAKMTIvMzEvMjAxNQgAAAAJMy8zMS8yMDE1CQAAAAEwpNKVu9632wiM2Hrf3rfbCChDSVEuTllTRTpDQVQuSVFfQVJfVFVSTlMuMTAwMC4xMi8zMS8yMDE3AQAAADL1AwACAAAACDYuNDE5ODU3AQgAAAAFAAAAATEBAAAACjIwMTU4NjkyMTcDAAAAAzE2MAIAAAAENDAwMQQAAAABMAcAAAAKMTIvMzEvMjAxNwgAAAAKMTIvMzEvMjAxNwkAAAABMKTSlbvet9sIcB4X4N632wgrQ0lRLk5TRUk6TSZNLklRX0FTU0VU</t>
  </si>
  <si>
    <t>X1RVUk5TLjEwMDAuMTIvMzEvMjAxNAEAAABCZw0AAgAAAAcwLjg5MTk5AQgAAAAFAAAAATEBAAAACjE3NDU3Mjg3NjMDAAAAAjcyAgAAAAQ0MTc3BAAAAAEwBwAAAAoxMi8zMS8yMDE0CAAAAAkzLzMxLzIwMTQJAAAAATCk0pW73rfbCIzYet/et9sIKENJUS5OWVNFOkNBVC5JUV9BUl9UVVJOUy4xMDAwLjEyLzMxLzIwMTUBAAAAMvUDAAIAAAAINi4xNDE3NjQBCAAAAAUAAAABMQEAAAAKMTg3NDUyNDQ1MwMAAAADMTYwAgAAAAQ0MDAxBAAAAAEwBwAAAAoxMi8zMS8yMDE1CAAAAAoxMi8zMS8yMDE1CQAAAAEwpNKVu9632wiM2Hrf3rfbCClDSVEuTllTRTpBR0NPLklRX0FSX1RVUk5TLjEwMDAuMTIvMzEvMjAyMQEAAABP2AQAAgAAAAkxMi4wNTc2OTkBCAAAAAUAAAABMQEAAAALLTIwNTkwMTI1NDUDAAAAAzE2MAIAAAAENDAwMQQAAAABMAcAAAAKMTIvMzEvMjAyMQgAAAAKMTIvMzEvMjAyMQkAAAABMKTSlbvet9sIcB4X4N632wgoQ0lRLk5ZU0U6Q0FULklRX0FSX1RVUk5TLjEwMDAuMTIvMzEvMjAxNAEAAAAy9QMAAgAAAAg2LjUwNzU4MQEIAAAABQAAAAExAQAAAAoxODI3ODY5MTY1AwAAAAMxNjACAAAABDQwMDEEAAAAATAHAAAACjEyLzMxLzIwMTQIAAAACjEyLzMxLzIwMTQJAAAAATCk0pW73rfbCIzYet/et9sIKUNJUS5OWVNFOkFHQ08uSVFfQVJfVFVSTlMuMTAwMC4xMi8zMS8yMDIwAQAAAE/Y</t>
  </si>
  <si>
    <t>BAACAAAACTExLjA0NzAyNgEIAAAABQAAAAExAQAAAAstMjA1OTAxMjU3NwMAAAADMTYwAgAAAAQ0MDAxBAAAAAEwBwAAAAoxMi8zMS8yMDIwCAAAAAoxMi8zMS8yMDIwCQAAAAEwpNKVu9632wiYRRfg3rfbCCtDSVEuTllTRTpURVguSVFfQVNTRVRfVFVSTlMuMTAwMC4xMi8zMS8yMDIyAQAAAA6zBAACAAAACDEuNDc3MDk2AQgAAAAFAAAAATEBAAAACy0yMDYxNjMxNjM5AwAAAAMxNjACAAAABDQxNzcEAAAAATAHAAAACjEyLzMxLzIwMjIIAAAACjEyLzMxLzIwMjIJAAAAATCk0pW73rfbCKvZv7vet9sIKENJUS5OWVNFOkNBVC5JUV9BUl9UVVJOUy4xMDAwLjEyLzMxLzIwMTMBAAAAMvUDAAIAAAAINS44NzM0ODgBCAAAAAUAAAABMQEAAAAKMTc3NjQ0MjEwMgMAAAADMTYwAgAAAAQ0MDAxBAAAAAEwBwAAAAoxMi8zMS8yMDEzCAAAAAoxMi8zMS8yMDEzCQAAAAEwpNKVu9632wiM2Hrf3rfbCClDSVEuTllTRTpBR0NPLklRX0FSX1RVUk5TLjEwMDAuMTIvMzEvMjAxOQEAAABP2AQAAgAAAAkxMC43NTg0NDgBCAAAAAUAAAABMQEAAAALLTIxMTA0NTcyODgDAAAAAzE2MAIAAAAENDAwMQQAAAABMAcAAAAKMTIvMzEvMjAxOQgAAAAKMTIvMzEvMjAxOQkAAAABMKTSlbvet9sImEUX4N632wgrQ0lRLk5ZU0U6VEVYLklRX0FTU0VUX1RVUk5TLjEwMDAuMTIvMzEvMjAxNQEAAAAOswQAAgAAAAcwLjg3MDAxAQgA</t>
  </si>
  <si>
    <t>AAAFAAAAATEBAAAACjE4NzQ4MzI2NjMDAAAAAzE2MAIAAAAENDE3NwQAAAABMAcAAAAKMTIvMzEvMjAxNQgAAAAKMTIvMzEvMjAxNQkAAAABMKTSlbvet9sIq9m/u9632wgpQ0lRLk5ZU0U6QUdDTy5JUV9BUl9UVVJOUy4xMDAwLjEyLzMxLzIwMTgBAAAAT9gEAAIAAAAIOS44NDU3NjUBCAAAAAUAAAABMQEAAAAKMjA4MjQ5NzcxMwMAAAADMTYwAgAAAAQ0MDAxBAAAAAEwBwAAAAoxMi8zMS8yMDE4CAAAAAoxMi8zMS8yMDE4CQAAAAEwpNKVu9632whwHhfg3rfbCCtDSVEuTllTRTpURVguSVFfQVNTRVRfVFVSTlMuMTAwMC4xMi8zMS8yMDE0AQAAAA6zBAACAAAACDAuODc5OTI0AQgAAAAFAAAAATEBAAAACjE4Mjk1ODIwNDcDAAAAAzE2MAIAAAAENDE3NwQAAAABMAcAAAAKMTIvMzEvMjAxNAgAAAAKMTIvMzEvMjAxNAkAAAABMKTSlbvet9sIq9m/u9632wgrQ0lRLlRTRTo2MzI2LklRX0FTU0VUX1RVUk5TLjEwMDAuMTIvMzEvMjAyMAEAAAAZVwQAAgAAAAgwLjU4NTY2NgEIAAAABQAAAAExAQAAAAstMjEwNzcxNDAwOAMAAAACNzkCAAAABDQxNzcEAAAAATAHAAAACjEyLzMxLzIwMjAIAAAACjEyLzMxLzIwMjAJAAAAATCk0pW73rfbCHAeF+Det9sIK0NJUS5UU0U6NjMyNi5JUV9BU1NFVF9UVVJOUy4xMDAwLjEyLzMxLzIwMjIBAAAAGVcEAAIAAAAIMC42Mjk5NDQBCAAAAAUAAAABMQEAAAALLTIwNTU2</t>
  </si>
  <si>
    <t>MTY0MzQDAAAAAjc5AgAAAAQ0MTc3BAAAAAEwBwAAAAoxMi8zMS8yMDIyCAAAAAoxMi8zMS8yMDIyCQAAAAEwpNKVu9632whwHhfg3rfbCCtDSVEuTlNFSTpNJk0uSVFfQVNTRVRfVFVSTlMuMTAwMC4xMi8zMS8yMDEzAQAAAEJnDQACAAAACDAuOTY5MTMzAQgAAAAFAAAAATEBAAAACjE2OTAxMDIyNzUDAAAAAjcyAgAAAAQ0MTc3BAAAAAEwBwAAAAoxMi8zMS8yMDEzCAAAAAkzLzMxLzIwMTMJAAAAATCk0pW73rfbCIzYet/et9sILENJUS5OWVNFOkRFLklRX1JFVFVSTl9FUVVJVFkuMTAwMC4xMi8zMS8yMDIyAQAAAIAPBAACAAAABzM2Ljc2MTEBCAAAAAUAAAABMQEAAAALLTIwNjUzODg0NjgDAAAAAzE2MAIAAAAENDEyOAQAAAABMAcAAAAKMTIvMzEvMjAyMggAAAAKMTAvMzAvMjAyMgkAAAABMKVgGcDet9sILx9S2d632wgwQ0lRLlNIU0U6NjAwMDMxLklRX1JFVFVSTl9FUVVJVFkuMTAwMC4xMi8zMS8yMDIwAQAAAC9QWQACAAAABjI5LjcwNAEIAAAABQAAAAExAQAAAAstMjEwMjA4MTAxNwMAAAACMzICAAAABDQxMjgEAAAAATAHAAAACjEyLzMxLzIwMjAIAAAACjEyLzMxLzIwMjAJAAAAATClYBnA3rfbCB8qMtfet9sILUNJUS5OWVNFOlRFWC5JUV9SRVRVUk5fRVFVSVRZLjEwMDAuMTIvMzEvMjAxOAEAAAAOswQAAgAAAAcyMy4yMDEzAQgAAAAFAAAAATEBAAAACjIwNzk5NjUxMjUDAAAAAzE2MAIA</t>
  </si>
  <si>
    <t>AAAENDEyOAQAAAABMAcAAAAKMTIvMzEvMjAxOAgAAAAKMTIvMzEvMjAxOAkAAAABMKVgGcDet9sIHyoy19632wgtQ0lRLk5TRUk6TSZNLklRX1JFVFVSTl9FUVVJVFkuMTAwMC4xMi8zMS8yMDIxAQAAAEJnDQACAAAABjcuNTMwOAEIAAAABQAAAAExAQAAAAstMjA4OTc0NDAyMAMAAAACNzICAAAABDQxMjgEAAAAATAHAAAACjEyLzMxLzIwMjEIAAAACTMvMzEvMjAyMQkAAAABMKVgGcDet9sILx9S2d632wguQ0lRLk5ZU0U6Q05ISS5JUV9SRVRVUk5fRVFVSVRZLjEwMDAuMTIvMzEvMjAxOQEAAABOYhkGAgAAAAcyNS44Mzk3AQgAAAAFAAAAATEBAAAACy0yMTA5Nzg1ODMyAwAAAAMxNjACAAAABDQxMjgEAAAAATAHAAAACjEyLzMxLzIwMTkIAAAACjEyLzMxLzIwMTkJAAAAATClYBnA3rfbCAqVT9net9sIMENJUS5TSFNFOjYwMDAzMS5JUV9SRVRVUk5fQVNTRVRTLjEwMDAuMTIvMzEvMjAyMgEAAAAvUFkAAgAAAAYxLjg3NjkBCAAAAAUAAAABMQEAAAALLTIwNTI1NTk0NzQDAAAAAjMyAgAAAAQ0MTc4BAAAAAEwBwAAAAoxMi8zMS8yMDIyCAAAAAoxMi8zMS8yMDIyCQAAAAEwpWAZwN632whHV17U3rfbCC1DSVEuTllTRTpURVguSVFfUkVUVVJOX0FTU0VUUy4xMDAwLjEyLzMxLzIwMjABAAAADrMEAAIAAAAGMS40NTcyAQgAAAAFAAAAATEBAAAACy0yMDYxNjMxNjM4AwAAAAMxNjACAAAABDQxNzgEAAAA</t>
  </si>
  <si>
    <t>ATAHAAAACjEyLzMxLzIwMjAIAAAACjEyLzMxLzIwMjAJAAAAATClYBnA3rfbCEdXXtTet9sILkNJUS5OWVNFOkNOSEkuSVFfUkVUVVJOX0FTU0VUUy4xMDAwLjEyLzMxLzIwMjEBAAAATmIZBgIAAAAGMi42OTAxAQgAAAAFAAAAATEBAAAACy0yMDU5MDEyNjAzAwAAAAMxNjACAAAABDQxNzgEAAAAATAHAAAACjEyLzMxLzIwMjEIAAAACjEyLzMxLzIwMjEJAAAAATClYBnA3rfbCC8fUtnet9sIM0NJUS5UU0U6NjUwMS5JUV9FQklUREFfTUFSR0lOLjEwMDAuMTIvMzEvMjAxMy4uLlVTRAEAAACbLQIAAgAAAAY5LjI5MTQBCAAAAAUAAAABMQEAAAAKMTY4NTUyMTcyMgMAAAACNzkCAAAABDQwNDcEAAAAATAHAAAACjEyLzMxLzIwMTMIAAAACTMvMzEvMjAxMwkAAAABMKVgGcDet9sIrB8J0d632wgzQ0lRLk5ZU0U6VEVYLklRX0VCSVREQV9NQVJHSU4uMTAwMC4xMi8zMS8yMDIyLi4uVVNEAQAAAA6zBAACAAAABzEwLjU3NzkBCAAAAAUAAAABMQEAAAALLTIwNjE2MzE2MzkDAAAAAzE2MAIAAAAENDA0NwQAAAABMAcAAAAKMTIvMzEvMjAyMggAAAAKMTIvMzEvMjAyMgkAAAABMKVgGcDet9sIBYIL0d632wg4Q0lRLk5BU0RBUUNNOlRPUk8uSVFfRUJJVERBX01BUkdJTi4xMDAwLjEyLzMxLzIwMTQuLi5VU0QBAAAAeXs2bAMAAAAAAKVgGcDet9sICpVP2d632wgrQ0lRLlRTRTo2NTAxLklRX0VCSVRfTUFSR0lO</t>
  </si>
  <si>
    <t>LjEwMDAuMTIvMzEvMjAxNQEAAACbLQIAAgAAAAY2LjU2MDkBCAAAAAUAAAABMQEAAAAKMTc0NTI3MDY3MgMAAAACNzkCAAAABDQwNTMEAAAAATAHAAAACjEyLzMxLzIwMTUIAAAACTMvMzEvMjAxNQkAAAABMKVgGcDet9sIIrihzt632wgsQ0lRLk5ZU0U6Q05ISS5JUV9FQklUX01BUkdJTi4xMDAwLjEyLzMxLzIwMTMBAAAATmIZBgIAAAAGNS45Njk5AQgAAAAFAAAAATEBAAAACjE4MjE2ODc2MjADAAAAAzE2MAIAAAAENDA1MwQAAAABMAcAAAAKMTIvMzEvMjAxMwgAAAAKMTIvMzEvMjAxMwkAAAABMKVgGcDet9sICpVP2d632wgwQ0lRLk5BU0RBUUNNOlRPUk8uSVFfRUJJVF9NQVJHSU4uMTAwMC4xMi8zMC8yMDE2AQAAAHl7NmwDAAAAAAClYBnA3rfbCAqVT9net9sIK0NJUS5UU0U6NjMyNi5JUV9FQklUX01BUkdJTi4xMDAwLjEyLzMxLzIwMTQBAAAAGVcEAAIAAAAHMTMuNjM1OAEIAAAABQAAAAExAQAAAAoxNzgyNDQ2MzU1AwAAAAI3OQIAAAAENDA1MwQAAAABMAcAAAAKMTIvMzEvMjAxNAgAAAAJMy8zMS8yMDE0CQAAAAEwpWAZwN632wgKlU/Z3rfbCClDSVEuVFNFOjY1MDEuSVFfTklfTUFSR0lOLjEwMDAuMTIvMzEvMjAxNwEAAACbLQIAAgAAAAUyLjUyNAEIAAAABQAAAAExAQAAAAoxOTYzMzE1OTAwAwAAAAI3OQIAAAAENDA5NAQAAAABMAcAAAAKMTIvMzEvMjAxNwgAAAAJMy8zMS8yMDE3CQAA</t>
  </si>
  <si>
    <t>AAEwpWAZwN632wiEfnrK3rfbCCpDSVEuTllTRTpDTkhJLklRX05JX01BUkdJTi4xMDAwLjEyLzMxLzIwMTUBAAAATmIZBgIAAAAGMC45NzYzAQgAAAAFAAAAATEBAAAACjE4Nzc2MDUwMjcDAAAAAzE2MAIAAAAENDA5NAQAAAABMAcAAAAKMTIvMzEvMjAxNQgAAAAKMTIvMzEvMjAxNQkAAAABMKVgGcDet9sICpVP2d632wgpQ0lRLk5ZU0U6Q0FULklRX05JX01BUkdJTi4xMDAwLjEyLzMxLzIwMTMBAAAAMvUDAAIAAAAGNi44MDc4AQgAAAAFAAAAATEBAAAACjE3NzY0NDIxMDIDAAAAAzE2MAIAAAAENDA5NAQAAAABMAcAAAAKMTIvMzEvMjAxMwgAAAAKMTIvMzEvMjAxMwkAAAABMKVgGcDet9sIhH56yt632wguQ0lRLk5BU0RBUUNNOlRPUk8uSVFfTklfTUFSR0lOLjEwMDAuMTIvMzEvMjAxOAEAAAB5ezZsAwAAAAAApWAZwN632wgKlU/Z3rfbCClDSVEuVFNFOjYzMjYuSVFfTklfTUFSR0lOLjEwMDAuMTIvMzAvMjAxNgEAAAAZVwQAAgAAAAY4Ljg0NTMBCAAAAAUAAAABMQEAAAAKMTg3OTU5NDk0OAMAAAACNzkCAAAABDQwOTQEAAAAATAHAAAACjEyLzMwLzIwMTYIAAAACjEyLzMxLzIwMTUJAAAAATClYBnA3rfbCAqVT9net9sIKkNJUS5OWVNFOkFHQ08uSVFfTklfTUFSR0lOLjEwMDAuMTIvMzEvMjAxNAEAAABP2AQAAgAAAAY0LjIyMDYBCAAAAAUAAAABMQEAAAAKMTgyOTk1MDk3OAMAAAADMTYwAgAA</t>
  </si>
  <si>
    <t>AAQ0MDk0BAAAAAEwBwAAAAoxMi8zMS8yMDE0CAAAAAoxMi8zMS8yMDE0CQAAAAEwpWAZwN632wgKlU/Z3rfbCDJDSVEuVFNFOjY1MDEuSVFfR1JPU1NfTUFSR0lOLjEwMDAuMTIvMzEvMjAxOS4uLlVTRAEAAACbLQIAAgAAAAcyNi41MzgxAQgAAAAFAAAAATEBAAAACjIwNjI5MzgwMjMDAAAAAjc5AgAAAAQ0MDc0BAAAAAEwBwAAAAoxMi8zMS8yMDE5CAAAAAkzLzMxLzIwMTkJAAAAATClYBnA3rfbCPQxDcbet9sIM0NJUS5OWVNFOkNOSEkuSVFfR1JPU1NfTUFSR0lOLjEwMDAuMTIvMzEvMjAxNy4uLlVTRAEAAABOYhkGAgAAAAcxNi44MDA4AQgAAAAFAAAAATEBAAAACjIwMTkzMzM4OTgDAAAAAzE2MAIAAAAENDA3NAQAAAABMAcAAAAKMTIvMzEvMjAxNwgAAAAKMTIvMzEvMjAxNwkAAAABMKVgGcDet9sICpVP2d632wgyQ0lRLk5ZU0U6Q0FULklRX0dST1NTX01BUkdJTi4xMDAwLjEyLzMxLzIwMTUuLi5VU0QBAAAAMvUDAAIAAAAHMjMuNjQxMgEIAAAABQAAAAExAQAAAAoxODc0NTI0NDUzAwAAAAMxNjACAAAABDQwNzQEAAAAATAHAAAACjEyLzMxLzIwMTUIAAAACjEyLzMxLzIwMTUJAAAAATClYBnA3rfbCPQfX8Xet9sIN0NJUS5OQVNEQVFDTTpUT1JPLklRX0dST1NTX01BUkdJTi4xMDAwLjEyLzMxLzIwMjAuLi5VU0QBAAAAeXs2bAMAAAAAAKVgGcDet9sIXfdR2d632wgyQ0lRLlRTRTo2MzI2LklR</t>
  </si>
  <si>
    <t>X0dST1NTX01BUkdJTi4xMDAwLjEyLzMxLzIwMTguLi5VU0QBAAAAGVcEAAIAAAAHMjguNTAyNAEIAAAABQAAAAExAQAAAAoyMDIzMDU2MDk3AwAAAAI3OQIAAAAENDA3NAQAAAABMAcAAAAKMTIvMzEvMjAxOAgAAAAKMTIvMzEvMjAxOAkAAAABMKVgGcDet9sICpVP2d632wgzQ0lRLk5ZU0U6QUdDTy5JUV9HUk9TU19NQVJHSU4uMTAwMC4xMi8zMC8yMDE2Li4uVVNEAQAAAE/YBAACAAAABzIwLjg5OTEBCAAAAAUAAAABMQEAAAAKMTg3NjczNDU0MAMAAAADMTYwAgAAAAQ0MDc0BAAAAAEwBwAAAAoxMi8zMC8yMDE2CAAAAAoxMi8zMS8yMDE1CQAAAAEwpWAZwN632wgKlU/Z3rfbCDBDSVEuU0hTRTo2MDAwMzEuSVFfUkVUVVJOX0VRVUlUWS4xMDAwLjEyLzMxLzIwMTgBAAAAL1BZAAIAAAAGMjEuNDEzAQgAAAAFAAAAATEBAAAACjIwMzAxMjgyMjkDAAAAAjMyAgAAAAQ0MTI4BAAAAAEwBwAAAAoxMi8zMS8yMDE4CAAAAAoxMi8zMS8yMDE4CQAAAAEwpWAZwN632wgfKjLX3rfbCCtDSVEuTllTRTpURVguSVFfRUJJVF9NQVJHSU4uMTAwMC4xMi8zMS8yMDIyAQAAAA6zBAACAAAABjkuNTA5NAEIAAAABQAAAAExAQAAAAstMjA2MTYzMTYzOQMAAAADMTYwAgAAAAQ0MDUzBAAAAAEwBwAAAAoxMi8zMS8yMDIyCAAAAAoxMi8zMS8yMDIyCQAAAAEwpWAZwN632wgVG6TO3rfbCCpDSVEuTllTRTpDTkhJLklRX05J</t>
  </si>
  <si>
    <t>X01BUkdJTi4xMDAwLjEyLzMxLzIwMTMBAAAATmIZBgIAAAAGMi4wMDA4AQgAAAAFAAAAATEBAAAACjE4MjE2ODc2MjADAAAAAzE2MAIAAAAENDA5NAQAAAABMAcAAAAKMTIvMzEvMjAxMwgAAAAKMTIvMzEvMjAxMwkAAAABMKVgGcDet9sICpVP2d632wgpQ0lRLlRTRTo2MzI2LklRX05JX01BUkdJTi4xMDAwLjEyLzMxLzIwMTQBAAAAGVcEAAIAAAAGOC43ODI3AQgAAAAFAAAAATEBAAAACjE3ODI0NDYzNTUDAAAAAjc5AgAAAAQ0MDk0BAAAAAEwBwAAAAoxMi8zMS8yMDE0CAAAAAkzLzMxLzIwMTQJAAAAATClYBnA3rfbCAqVT9net9sIMkNJUS5UU0U6NjUwMS5JUV9HUk9TU19NQVJHSU4uMTAwMC4xMi8zMS8yMDE3Li4uVVNEAQAAAJstAgACAAAABzI1Ljk3MTYBCAAAAAUAAAABMQEAAAAKMTk2MzMxNTkwMAMAAAACNzkCAAAABDQwNzQEAAAAATAHAAAACjEyLzMxLzIwMTcIAAAACTMvMzEvMjAxNwkAAAABMKVgGcDet9sI9DENxt632wgyQ0lRLk5ZU0U6Q0FULklRX0dST1NTX01BUkdJTi4xMDAwLjEyLzMxLzIwMTMuLi5VU0QBAAAAMvUDAAIAAAAGMjIuNzM2AQgAAAAFAAAAATEBAAAACjE3NzY0NDIxMDIDAAAAAzE2MAIAAAAENDA3NAQAAAABMAcAAAAKMTIvMzEvMjAxMwgAAAAKMTIvMzEvMjAxMwkAAAABMKVgGcDet9sI9B9fxd632wgyQ0lRLlRTRTo2MzI2LklRX0dST1NTX01BUkdJTi4xMDAwLjEy</t>
  </si>
  <si>
    <t>LzMwLzIwMTYuLi5VU0QBAAAAGVcEAAIAAAAHMzEuNzA5MgEIAAAABQAAAAExAQAAAAoxODc5NTk0OTQ4AwAAAAI3OQIAAAAENDA3NAQAAAABMAcAAAAKMTIvMzAvMjAxNggAAAAKMTIvMzEvMjAxNQkAAAABMKVgGcDet9sICpVP2d632wgsQ0lRLk5ZU0U6REUuSVFfUkVUVVJOX0VRVUlUWS4xMDAwLjEyLzMxLzIwMTkBAAAAgA8EAAIAAAAHMjguNjUwNQEIAAAABQAAAAExAQAAAAstMjExNjc4NTA2NAMAAAADMTYwAgAAAAQ0MTI4BAAAAAEwBwAAAAoxMi8zMS8yMDE5CAAAAAkxMS8zLzIwMTkJAAAAATClYBnA3rfbCAqVT9net9sILUNJUS5OWVNFOlRFWC5JUV9SRVRVUk5fRVFVSVRZLjEwMDAuMTIvMzEvMjAxNQEAAAAOswQAAgAAAAY2LjQ4OTMBCAAAAAUAAAABMQEAAAAKMTg3NDgzMjY2MwMAAAADMTYwAgAAAAQ0MTI4BAAAAAEwBwAAAAoxMi8zMS8yMDE1CAAAAAoxMi8zMS8yMDE1CQAAAAEwpWAZwN632wgfKjLX3rfbCCxDSVEuTllTRTpERS5JUV9SRVRVUk5fRVFVSVRZLjEwMDAuMTIvMzEvMjAyMAEAAACADwQAAgAAAAcyMi41ODg3AQgAAAAFAAAAATEBAAAACy0yMTE2Nzg1MDY5AwAAAAMxNjACAAAABDQxMjgEAAAAATAHAAAACjEyLzMxLzIwMjAIAAAACTExLzEvMjAyMAkAAAABMKVgGcDet9sICpVP2d632wgtQ0lRLk5TRUk6TSZNLklRX1JFVFVSTl9FUVVJVFkuMTAwMC4xMi8zMS8yMDE4AQAA</t>
  </si>
  <si>
    <t>AEJnDQACAAAABzE5LjYxOTYBCAAAAAUAAAABMQEAAAAKMTk3MDYzODExMAMAAAACNzICAAAABDQxMjgEAAAAATAHAAAACjEyLzMxLzIwMTgIAAAACTMvMzEvMjAxOAkAAAABMKVgGcDet9sICpVP2d632wguQ0lRLk5ZU0U6Q05ISS5JUV9SRVRVUk5fRVFVSVRZLjEwMDAuMTIvMzAvMjAxNgEAAABOYhkGAgAAAAY1LjA0MTYBCAAAAAUAAAABMQEAAAAKMTg3NzYwNTAyNwMAAAADMTYwAgAAAAQ0MTI4BAAAAAEwBwAAAAoxMi8zMC8yMDE2CAAAAAoxMi8zMS8yMDE1CQAAAAEwpWAZwN632wgKlU/Z3rfbCDBDSVEuU0hTRTo2MDAwMzEuSVFfUkVUVVJOX0FTU0VUUy4xMDAwLjEyLzMxLzIwMTkBAAAAL1BZAAIAAAAGOS4yNjAzAQgAAAAFAAAAATEBAAAACjIwODY5MTc4NzYDAAAAAjMyAgAAAAQ0MTc4BAAAAAEwBwAAAAoxMi8zMS8yMDE5CAAAAAoxMi8zMS8yMDE5CQAAAAEwpWAZwN632wja9FvU3rfbCCxDSVEuTllTRTpERS5JUV9SRVRVUk5fQVNTRVRTLjEwMDAuMTIvMzEvMjAyMgEAAACADwQAAgAAAAY3LjA3MjQBCAAAAAUAAAABMQEAAAALLTIwNjUzODg0NjgDAAAAAzE2MAIAAAAENDE3OAQAAAABMAcAAAAKMTIvMzEvMjAyMggAAAAKMTAvMzAvMjAyMgkAAAABMKVgGcDet9sILx9S2d632wguQ0lRLk5ZU0U6Q05ISS5JUV9SRVRVUk5fQVNTRVRTLjEwMDAuMTIvMzEvMjAxOAEAAABOYhkGAgAAAAYyLjQ3</t>
  </si>
  <si>
    <t>ODgBCAAAAAUAAAABMQEAAAAKMjA4Mjk0NzE3MAMAAAADMTYwAgAAAAQ0MTc4BAAAAAEwBwAAAAoxMi8zMS8yMDE4CAAAAAoxMi8zMS8yMDE4CQAAAAEwpWAZwN632wgKlU/Z3rfbCDZDSVEuU0hTRTo2MDAwMzEuSVFfRUJJVERBX01BUkdJTi4xMDAwLjEyLzMxLzIwMjEuLi5VU0QBAAAAL1BZAAIAAAAHMTQuMTQzOAEIAAAABQAAAAExAQAAAAstMjA1MjU1OTQ3NgMAAAACMzICAAAABDQwNDcEAAAAATAHAAAACjEyLzMxLzIwMjEIAAAACjEyLzMxLzIwMjEJAAAAATClYBnA3rfbCAWCC9Het9sIM0NJUS5OU0VJOk0mTS5JUV9FQklUREFfTUFSR0lOLjEwMDAuMTIvMzEvMjAyMi4uLlVTRAEAAABCZw0AAgAAAAcxNS40NDAzAQgAAAAFAAAAATEBAAAACy0yMDM5MDgyNzg0AwAAAAI3MgIAAAAENDA0NwQAAAABMAcAAAAKMTIvMzEvMjAyMggAAAAJMy8zMS8yMDIyCQAAAAEwpWAZwN632wgvH1LZ3rfbCCtDSVEuTllTRTpURVguSVFfRUJJVF9NQVJHSU4uMTAwMC4xMi8zMS8yMDIxAQAAAA6zBAACAAAABjguNTU5NwEIAAAABQAAAAExAQAAAAstMjA2MTYzMTYyOQMAAAADMTYwAgAAAAQ0MDUzBAAAAAEwBwAAAAoxMi8zMS8yMDIxCAAAAAoxMi8zMS8yMDIxCQAAAAEwpWAZwN632wgVG6TO3rfbCDBDSVEuTkFTREFRQ006VE9STy5JUV9FQklUX01BUkdJTi4xMDAwLjEyLzMxLzIwMTMBAAAAeXs2bAMAAAAAAKVg</t>
  </si>
  <si>
    <t>GcDet9sICpVP2d632wgpQ0lRLlRTRTo2NTAxLklRX05JX01BUkdJTi4xMDAwLjEyLzMxLzIwMTQBAAAAmy0CAAIAAAAGNC4yODE1AQgAAAAFAAAAATEBAAAACjE3NDUyNzA1NDQDAAAAAjc5AgAAAAQ0MDk0BAAAAAEwBwAAAAoxMi8zMS8yMDE0CAAAAAkzLzMxLzIwMTQJAAAAATClYBnA3rfbCIR+esret9sILkNJUS5OQVNEQVFDTTpUT1JPLklRX05JX01BUkdJTi4xMDAwLjEyLzMxLzIwMTUBAAAAeXs2bAMAAAAAAKVgGcDet9sICpVP2d632wgyQ0lRLlRTRTo2NTAxLklRX0dST1NTX01BUkdJTi4xMDAwLjEyLzMwLzIwMTYuLi5VU0QBAAAAmy0CAAIAAAAHMjUuNjY0MgEIAAAABQAAAAExAQAAAAoxNzk3NTU0NDUxAwAAAAI3OQIAAAAENDA3NAQAAAABMAcAAAAKMTIvMzAvMjAxNggAAAAJMy8zMS8yMDE2CQAAAAEwpWAZwN632wj0MQ3G3rfbCDNDSVEuTllTRTpDTkhJLklRX0dST1NTX01BUkdJTi4xMDAwLjEyLzMxLzIwMTQuLi5VU0QBAAAATmIZBgIAAAAHMTcuNjUwMQEIAAAABQAAAAExAQAAAAoxODMwNDI4MDcwAwAAAAMxNjACAAAABDQwNzQEAAAAATAHAAAACjEyLzMxLzIwMTQIAAAACjEyLzMxLzIwMTQJAAAAATClYBnA3rfbCAqVT9net9sIN0NJUS5OQVNEQVFDTTpUT1JPLklRX0dST1NTX01BUkdJTi4xMDAwLjEyLzMxLzIwMTcuLi5VU0QBAAAAeXs2bAMAAAAAAKVgGcDet9sICpVP2d632wgz</t>
  </si>
  <si>
    <t>Q0lRLk5ZU0U6QUdDTy5JUV9HUk9TU19NQVJHSU4uMTAwMC4xMi8zMS8yMDEzLi4uVVNEAQAAAE/YBAACAAAABjIyLjE2MgEIAAAABQAAAAExAQAAAAoxNzc4MTg1MDg4AwAAAAMxNjACAAAABDQwNzQEAAAAATAHAAAACjEyLzMxLzIwMTMIAAAACjEyLzMxLzIwMTMJAAAAATClYBnA3rfbCAqVT9net9sILENJUS5OWVNFOkRFLklRX1JFVFVSTl9FUVVJVFkuMTAwMC4xMi8zMS8yMDE4AQAAAIAPBAACAAAABzIyLjcxMTIBCAAAAAUAAAABMQEAAAAKMjA3NTI0NzExOQMAAAADMTYwAgAAAAQ0MTI4BAAAAAEwBwAAAAoxMi8zMS8yMDE4CAAAAAoxMC8yOC8yMDE4CQAAAAEwpWAZwN632wgKlU/Z3rfbCCxDSVEuTllTRTpERS5JUV9SRVRVUk5fQVNTRVRTLjEwMDAuMTIvMzEvMjAyMAEAAACADwQAAgAAAAYzLjgzODUBCAAAAAUAAAABMQEAAAALLTIxMTY3ODUwNjkDAAAAAzE2MAIAAAAENDE3OAQAAAABMAcAAAAKMTIvMzEvMjAyMAgAAAAJMTEvMS8yMDIwCQAAAAEwpWAZwN632wgKlU/Z3rfbCCxDSVEuTllTRTpERS5JUV9SRVRVUk5fQVNTRVRTLjEwMDAuMTIvMzEvMjAyMQEAAACADwQAAgAAAAY2LjIxNjgBCAAAAAUAAAABMQEAAAALLTIwNjUzODg0OTUDAAAAAzE2MAIAAAAENDE3OAQAAAABMAcAAAAKMTIvMzEvMjAyMQgAAAAKMTAvMzEvMjAyMQkAAAABMKVgGcDet9sILx9S2d632wguQ0lRLk5ZU0U6Q05I</t>
  </si>
  <si>
    <t>SS5JUV9SRVRVUk5fQVNTRVRTLjEwMDAuMTIvMzEvMjAxNwEAAABOYhkGAgAAAAYxLjkxMjcBCAAAAAUAAAABMQEAAAAKMjAxOTMzMzg5OAMAAAADMTYwAgAAAAQ0MTc4BAAAAAEwBwAAAAoxMi8zMS8yMDE3CAAAAAoxMi8zMS8yMDE3CQAAAAEwpWAZwN632wgKlU/Z3rfbCDZDSVEuU0hTRTo2MDAwMzEuSVFfRUJJVERBX01BUkdJTi4xMDAwLjEyLzMxLzIwMjAuLi5VU0QBAAAAL1BZAAIAAAAHMTkuNDU2NwEIAAAABQAAAAExAQAAAAstMjEwMjA4MTAxNwMAAAACMzICAAAABDQwNDcEAAAAATAHAAAACjEyLzMxLzIwMjAIAAAACjEyLzMxLzIwMjAJAAAAATClYBnA3rfbCAWCC9Het9sIM0NJUS5OU0VJOk0mTS5JUV9FQklUREFfTUFSR0lOLjEwMDAuMTIvMzEvMjAyMS4uLlVTRAEAAABCZw0AAgAAAAcxNy40NDc1AQgAAAAFAAAAATEBAAAACy0yMDg5NzQ0MDIwAwAAAAI3MgIAAAAENDA0NwQAAAABMAcAAAAKMTIvMzEvMjAyMQgAAAAJMy8zMS8yMDIxCQAAAAEwpWAZwN632wgvH1LZ3rfbCCtDSVEuTllTRTpURVguSVFfRUJJVF9NQVJHSU4uMTAwMC4xMi8zMS8yMDIwAQAAAA6zBAACAAAABjIuMzU5OQEIAAAABQAAAAExAQAAAAstMjA2MTYzMTYzOAMAAAADMTYwAgAAAAQ0MDUzBAAAAAEwBwAAAAoxMi8zMS8yMDIwCAAAAAoxMi8zMS8yMDIwCQAAAAEwpWAZwN632wgVG6TO3rfbCCxDSVEuTllTRTpERS5J</t>
  </si>
  <si>
    <t>UV9SRVRVUk5fRVFVSVRZLjEwMDAuMTIvMzEvMjAyMQEAAACADwQAAgAAAAczOC4wMjAyAQgAAAAFAAAAATEBAAAACy0yMDY1Mzg4NDk1AwAAAAMxNjACAAAABDQxMjgEAAAAATAHAAAACjEyLzMxLzIwMjEIAAAACjEwLzMxLzIwMjEJAAAAATClYBnA3rfbCC8fUtnet9sIMENJUS5TSFNFOjYwMDAzMS5JUV9SRVRVUk5fRVFVSVRZLjEwMDAuMTIvMzEvMjAxOQEAAAAvUFkAAgAAAAcyOC43MTk3AQgAAAAFAAAAATEBAAAACjIwODY5MTc4NzYDAAAAAjMyAgAAAAQ0MTI4BAAAAAEwBwAAAAoxMi8zMS8yMDE5CAAAAAoxMi8zMS8yMDE5CQAAAAEwpWAZwN632wgfKjLX3rfbCC1DSVEuTllTRTpURVguSVFfUkVUVVJOX0VRVUlUWS4xMDAwLjEyLzMxLzIwMTcBAAAADrMEAAIAAAAGOC4wOTEyAQgAAAAFAAAAATEBAAAACjIwMTQyNzY5NTIDAAAAAzE2MAIAAAAENDEyOAQAAAABMAcAAAAKMTIvMzEvMjAxNwgAAAAKMTIvMzEvMjAxNwkAAAABMKVgGcDet9sIHyoy19632wgtQ0lRLk5TRUk6TSZNLklRX1JFVFVSTl9FUVVJVFkuMTAwMC4xMi8zMS8yMDIwAQAAAEJnDQACAAAABjUuNjUxNAEIAAAABQAAAAExAQAAAAstMjE0MzgyMzE3NQMAAAACNzICAAAABDQxMjgEAAAAATAHAAAACjEyLzMxLzIwMjAIAAAACTMvMzEvMjAyMAkAAAABMKVgGcDet9sICpVP2d632wguQ0lRLk5ZU0U6Q05ISS5JUV9SRVRVUk5fRVFV</t>
  </si>
  <si>
    <t>SVRZLjEwMDAuMTIvMzEvMjAxOAEAAABOYhkGAgAAAAcyMy40OTU0AQgAAAAFAAAAATEBAAAACjIwODI5NDcxNzADAAAAAzE2MAIAAAAENDEyOAQAAAABMAcAAAAKMTIvMzEvMjAxOAgAAAAKMTIvMzEvMjAxOAkAAAABMKVgGcDet9sICpVP2d632wgwQ0lRLlNIU0U6NjAwMDMxLklRX1JFVFVSTl9BU1NFVFMuMTAwMC4xMi8zMS8yMDIxAQAAAC9QWQACAAAABjYuMTg4NQEIAAAABQAAAAExAQAAAAstMjA1MjU1OTQ3NgMAAAACMzICAAAABDQxNzgEAAAAATAHAAAACjEyLzMxLzIwMjEIAAAACjEyLzMxLzIwMjEJAAAAATClYBnA3rfbCEdXXtTet9sILUNJUS5OWVNFOlRFWC5JUV9SRVRVUk5fQVNTRVRTLjEwMDAuMTIvMzEvMjAxOQEAAAAOswQAAgAAAAY2LjI2OTEBCAAAAAUAAAABMQEAAAALLTIxMTI2MTMyNDUDAAAAAzE2MAIAAAAENDE3OAQAAAABMAcAAAAKMTIvMzEvMjAxOQgAAAAKMTIvMzEvMjAxOQkAAAABMKVgGcDet9sI2vRb1N632wgtQ0lRLk5TRUk6TSZNLklRX1JFVFVSTl9BU1NFVFMuMTAwMC4xMi8zMS8yMDIyAQAAAEJnDQACAAAABjQuMzg3NQEIAAAABQAAAAExAQAAAAstMjAzOTA4Mjc4NAMAAAACNzICAAAABDQxNzgEAAAAATAHAAAACjEyLzMxLzIwMjIIAAAACTMvMzEvMjAyMgkAAAABMKVgGcDet9sILx9S2d632wguQ0lRLk5ZU0U6Q05ISS5JUV9SRVRVUk5fQVNTRVRTLjEwMDAuMTIv</t>
  </si>
  <si>
    <t>MzEvMjAyMAEAAABOYhkGAgAAAAYwLjY0NTMBCAAAAAUAAAABMQEAAAALLTIwNTkwMTI1MzYDAAAAAzE2MAIAAAAENDE3OAQAAAABMAcAAAAKMTIvMzEvMjAyMAgAAAAKMTIvMzEvMjAyMAkAAAABMKVgGcDet9sICpVP2d632wgzQ0lRLk5ZU0U6VEVYLklRX0VCSVREQV9NQVJHSU4uMTAwMC4xMi8zMS8yMDIxLi4uVVNEAQAAAA6zBAACAAAABjkuODUxMgEIAAAABQAAAAExAQAAAAstMjA2MTYzMTYyOQMAAAADMTYwAgAAAAQ0MDQ3BAAAAAEwBwAAAAoxMi8zMS8yMDIxCAAAAAoxMi8zMS8yMDIxCQAAAAEwpWAZwN632wgFggvR3rfbCDhDSVEuTkFTREFRQ006VE9STy5JUV9FQklUREFfTUFSR0lOLjEwMDAuMTIvMzEvMjAxMy4uLlVTRAEAAAB5ezZsAwAAAAAApWAZwN632wgKlU/Z3rfbCDRDSVEuTllTRTpDTkhJLklRX0VCSVREQV9NQVJHSU4uMTAwMC4xMi8zMS8yMDIyLi4uVVNEAQAAAE5iGQYCAAAABzEzLjY4OTQBCAAAAAUAAAABMQEAAAALLTIwNTkwMTI1ODQDAAAAAzE2MAIAAAAENDA0NwQAAAABMAcAAAAKMTIvMzEvMjAyMggAAAAKMTIvMzEvMjAyMgkAAAABMKVgGcDet9sILx9S2d632wgrQ0lRLlRTRTo2NTAxLklRX0VCSVRfTUFSR0lOLjEwMDAuMTIvMzEvMjAxNAEAAACbLQIAAgAAAAY2LjI1NjYBCAAAAAUAAAABMQEAAAAKMTc0NTI3MDU0NAMAAAACNzkCAAAABDQwNTMEAAAAATAHAAAACjEy</t>
  </si>
  <si>
    <t>LzMxLzIwMTQIAAAACTMvMzEvMjAxNAkAAAABMKVgGcDet9sIIrihzt632wgwQ0lRLk5BU0RBUUNNOlRPUk8uSVFfRUJJVF9NQVJHSU4uMTAwMC4xMi8zMS8yMDE1AQAAAHl7NmwDAAAAAAClYBnA3rfbCAqVT9net9sIK0NJUS5UU0U6NjMyNi5JUV9FQklUX01BUkdJTi4xMDAwLjEyLzMxLzIwMTMBAAAAGVcEAAIAAAAHMTAuMDkyOAEIAAAABQAAAAExAQAAAAoxNzQzNTY1NzI5AwAAAAI3OQIAAAAENDA1MwQAAAABMAcAAAAKMTIvMzEvMjAxMwgAAAAJMy8zMS8yMDEzCQAAAAEwpWAZwN632wgKlU/Z3rfbCClDSVEuVFNFOjY1MDEuSVFfTklfTUFSR0lOLjEwMDAuMTIvMzAvMjAxNgEAAACbLQIAAgAAAAYxLjcxNTYBCAAAAAUAAAABMQEAAAAKMTc5NzU1NDQ1MQMAAAACNzkCAAAABDQwOTQEAAAAATAHAAAACjEyLzMwLzIwMTYIAAAACTMvMzEvMjAxNgkAAAABMKVgGcDet9sIhH56yt632wgqQ0lRLk5ZU0U6Q05ISS5JUV9OSV9NQVJHSU4uMTAwMC4xMi8zMS8yMDE0AQAAAE5iGQYCAAAABjIuMTgwOQEIAAAABQAAAAExAQAAAAoxODMwNDI4MDcwAwAAAAMxNjACAAAABDQwOTQEAAAAATAHAAAACjEyLzMxLzIwMTQIAAAACjEyLzMxLzIwMTQJAAAAATClYBnA3rfbCAqVT9net9sILkNJUS5OQVNEQVFDTTpUT1JPLklRX05JX01BUkdJTi4xMDAwLjEyLzMxLzIwMTcBAAAAeXs2bAMAAAAAAKVgGcDet9sICpVP</t>
  </si>
  <si>
    <t>2d632wgpQ0lRLlRTRTo2MzI2LklRX05JX01BUkdJTi4xMDAwLjEyLzMxLzIwMTUBAAAAGVcEAAIAAAAGOC44NDUzAQgAAAAFAAAAATEBAAAACjE4Nzk1OTQ5NDgDAAAAAjc5AgAAAAQ0MDk0BAAAAAEwBwAAAAoxMi8zMS8yMDE1CAAAAAoxMi8zMS8yMDE1CQAAAAEwpWAZwN632wgKlU/Z3rfbCCpDSVEuTllTRTpBR0NPLklRX05JX01BUkdJTi4xMDAwLjEyLzMxLzIwMTMBAAAAT9gEAAIAAAAGNS41MzYzAQgAAAAFAAAAATEBAAAACjE3NzgxODUwODgDAAAAAzE2MAIAAAAENDA5NAQAAAABMAcAAAAKMTIvMzEvMjAxMwgAAAAKMTIvMzEvMjAxMwkAAAABMKVgGcDet9sICpVP2d632wgyQ0lRLlRTRTo2NTAxLklRX0dST1NTX01BUkdJTi4xMDAwLjEyLzMxLzIwMTguLi5VU0QBAAAAmy0CAAIAAAAHMjYuNzA3MQEIAAAABQAAAAExAQAAAAoxOTY5OTAzMjkxAwAAAAI3OQIAAAAENDA3NAQAAAABMAcAAAAKMTIvMzEvMjAxOAgAAAAJMy8zMS8yMDE4CQAAAAEwpWAZwN632wj3WA3G3rfbCDNDSVEuTllTRTpDTkhJLklRX0dST1NTX01BUkdJTi4xMDAwLjEyLzMwLzIwMTYuLi5VU0QBAAAATmIZBgIAAAAHMTcuMzEyNAEIAAAABQAAAAExAQAAAAoxODc3NjA1MDI3AwAAAAMxNjACAAAABDQwNzQEAAAAATAHAAAACjEyLzMwLzIwMTYIAAAACjEyLzMxLzIwMTUJAAAAATClYBnA3rfbCAqVT9net9sIMkNJUS5OWVNF</t>
  </si>
  <si>
    <t>OkNBVC5JUV9HUk9TU19NQVJHSU4uMTAwMC4xMi8zMS8yMDE0Li4uVVNEAQAAADL1AwACAAAABzIxLjczODEBCAAAAAUAAAABMQEAAAAKMTgyNzg2OTE2NQMAAAADMTYwAgAAAAQ0MDc0BAAAAAEwBwAAAAoxMi8zMS8yMDE0CAAAAAoxMi8zMS8yMDE0CQAAAAEwpWAZwN632wj0H1/F3rfbCDdDSVEuTkFTREFRQ006VE9STy5JUV9HUk9TU19NQVJHSU4uMTAwMC4xMi8zMS8yMDE5Li4uVVNEAQAAAHl7NmwDAAAAAAClYBnA3rfbCAqVT9net9sIMkNJUS5UU0U6NjMyNi5JUV9HUk9TU19NQVJHSU4uMTAwMC4xMi8zMS8yMDE3Li4uVVNEAQAAABlXBAACAAAABzI5LjE2NDUBCAAAAAUAAAABMQEAAAAKMTg3OTU5NDk0MgMAAAACNzkCAAAABDQwNzQEAAAAATAHAAAACjEyLzMxLzIwMTcIAAAACjEyLzMxLzIwMTcJAAAAATClYBnA3rfbCAqVT9net9sIM0NJUS5OWVNFOkFHQ08uSVFfR1JPU1NfTUFSR0lOLjEwMDAuMTIvMzEvMjAxNS4uLlVTRAEAAABP2AQAAgAAAAcyMC44OTkxAQgAAAAFAAAAATEBAAAACjE4NzY3MzQ1NDADAAAAAzE2MAIAAAAENDA3NAQAAAABMAcAAAAKMTIvMzEvMjAxNQgAAAAKMTIvMzEvMjAxNQkAAAABMKVgGcDet9sICpVP2d632wgtQ0lRLk5ZU0U6VEVYLklRX1JFVFVSTl9FUVVJVFkuMTAwMC4xMi8zMC8yMDE2AQAAAA6zBAACAAAABjYuNDg5MwEIAAAABQAAAAExAQAAAAoxODc0ODMy</t>
  </si>
  <si>
    <t>NjYzAwAAAAMxNjACAAAABDQxMjgEAAAAATAHAAAACjEyLzMwLzIwMTYIAAAACjEyLzMxLzIwMTUJAAAAATClYBnA3rfbCB8qMtfet9sILUNJUS5OU0VJOk0mTS5JUV9SRVRVUk5fRVFVSVRZLjEwMDAuMTIvMzEvMjAxOQEAAABCZw0AAgAAAAcxMi44ODgyAQgAAAAFAAAAATEBAAAACjIwNDQ5NDE0MTADAAAAAjcyAgAAAAQ0MTI4BAAAAAEwBwAAAAoxMi8zMS8yMDE5CAAAAAkzLzMxLzIwMTkJAAAAATClYBnA3rfbCAqVT9net9sILkNJUS5OWVNFOkNOSEkuSVFfUkVUVVJOX0VRVUlUWS4xMDAwLjEyLzMxLzIwMTcBAAAATmIZBgIAAAAGNi42NDQ1AQgAAAAFAAAAATEBAAAACjIwMTkzMzM4OTgDAAAAAzE2MAIAAAAENDEyOAQAAAABMAcAAAAKMTIvMzEvMjAxNwgAAAAKMTIvMzEvMjAxNwkAAAABMKVgGcDet9sICpVP2d632wgwQ0lRLlNIU0U6NjAwMDMxLklRX1JFVFVSTl9BU1NFVFMuMTAwMC4xMi8zMS8yMDIwAQAAAC9QWQACAAAABTkuNzM0AQgAAAAFAAAAATEBAAAACy0yMTAyMDgxMDE3AwAAAAIzMgIAAAAENDE3OAQAAAABMAcAAAAKMTIvMzEvMjAyMAgAAAAKMTIvMzEvMjAyMAkAAAABMKVgGcDet9sIR1de1N632wgtQ0lRLk5ZU0U6VEVYLklRX1JFVFVSTl9BU1NFVFMuMTAwMC4xMi8zMS8yMDE4AQAAAA6zBAACAAAABjYuNTI4NAEIAAAABQAAAAExAQAAAAoyMDc5OTY1MTI1AwAAAAMxNjACAAAA</t>
  </si>
  <si>
    <t>BDQxNzgEAAAAATAHAAAACjEyLzMxLzIwMTgIAAAACjEyLzMxLzIwMTgJAAAAATClYBnA3rfbCNr0W9Tet9sILUNJUS5OU0VJOk0mTS5JUV9SRVRVUk5fQVNTRVRTLjEwMDAuMTIvMzEvMjAyMQEAAABCZw0AAgAAAAY0LjE4MDEBCAAAAAUAAAABMQEAAAALLTIwODk3NDQwMjADAAAAAjcyAgAAAAQ0MTc4BAAAAAEwBwAAAAoxMi8zMS8yMDIxCAAAAAkzLzMxLzIwMjEJAAAAATClYBnA3rfbCC8fUtnet9sILkNJUS5OWVNFOkNOSEkuSVFfUkVUVVJOX0FTU0VUUy4xMDAwLjEyLzMxLzIwMTkBAAAATmIZBgIAAAAGMS45Nzk2AQgAAAAFAAAAATEBAAAACy0yMTA5Nzg1ODMyAwAAAAMxNjACAAAABDQxNzgEAAAAATAHAAAACjEyLzMxLzIwMTkIAAAACjEyLzMxLzIwMTkJAAAAATClYBnA3rfbCAqVT9net9sINkNJUS5TSFNFOjYwMDAzMS5JUV9FQklUREFfTUFSR0lOLjEwMDAuMTIvMzEvMjAyMi4uLlVTRAEAAAAvUFkAAgAAAAY4LjE3ODcBCAAAAAUAAAABMQEAAAALLTIwNTI1NTk0NzQDAAAAAjMyAgAAAAQ0MDQ3BAAAAAEwBwAAAAoxMi8zMS8yMDIyCAAAAAoxMi8zMS8yMDIyCQAAAAEwpWAZwN632wgFggvR3rfbCDNDSVEuTllTRTpURVguSVFfRUJJVERBX01BUkdJTi4xMDAwLjEyLzMxLzIwMjAuLi5VU0QBAAAADrMEAAIAAAAGMy45NzU0AQgAAAAFAAAAATEBAAAACy0yMDYxNjMxNjM4AwAAAAMxNjACAAAA</t>
  </si>
  <si>
    <t>BDQwNDcEAAAAATAHAAAACjEyLzMxLzIwMjAIAAAACjEyLzMxLzIwMjAJAAAAATClYBnA3rfbCAWCC9Het9sINENJUS5OWVNFOkNOSEkuSVFfRUJJVERBX01BUkdJTi4xMDAwLjEyLzMxLzIwMjEuLi5VU0QBAAAATmIZBgIAAAAHMTIuMzUxMgEIAAAABQAAAAExAQAAAAstMjA1OTAxMjYwMwMAAAADMTYwAgAAAAQ0MDQ3BAAAAAEwBwAAAAoxMi8zMS8yMDIxCAAAAAoxMi8zMS8yMDIxCQAAAAEwpWAZwN632wgvH1LZ3rfbCCtDSVEuVFNFOjY1MDEuSVFfRUJJVF9NQVJHSU4uMTAwMC4xMi8zMS8yMDEzAQAAAJstAgACAAAABjQuNjY3OAEIAAAABQAAAAExAQAAAAoxNjg1NTIxNzIyAwAAAAI3OQIAAAAENDA1MwQAAAABMAcAAAAKMTIvMzEvMjAxMwgAAAAJMy8zMS8yMDEzCQAAAAEwpWAZwN632wgiuKHO3rfbCDBDSVEuTkFTREFRQ006VE9STy5JUV9FQklUX01BUkdJTi4xMDAwLjEyLzMxLzIwMTQBAAAAeXs2bAMAAAAAAKVgGcDet9sICpVP2d632wgpQ0lRLlRTRTo2NTAxLklRX05JX01BUkdJTi4xMDAwLjEyLzMxLzIwMTUBAAAAmy0CAAIAAAAGMi4yMjQ4AQgAAAAFAAAAATEBAAAACjE3NDUyNzA2NzIDAAAAAjc5AgAAAAQ0MDk0BAAAAAEwBwAAAAoxMi8zMS8yMDE1CAAAAAkzLzMxLzIwMTUJAAAAATClYBnA3rfbCIR+esret9sILkNJUS5OQVNEQVFDTTpUT1JPLklRX05JX01BUkdJTi4xMDAwLjEyLzMw</t>
  </si>
  <si>
    <t>LzIwMTYBAAAAeXs2bAMAAAAAAKVgGcDet9sICpVP2d632wgzQ0lRLk5ZU0U6Q05ISS5JUV9HUk9TU19NQVJHSU4uMTAwMC4xMi8zMS8yMDE1Li4uVVNEAQAAAE5iGQYCAAAABzE3LjMxMjQBCAAAAAUAAAABMQEAAAAKMTg3NzYwNTAyNwMAAAADMTYwAgAAAAQ0MDc0BAAAAAEwBwAAAAoxMi8zMS8yMDE1CAAAAAoxMi8zMS8yMDE1CQAAAAEwpWAZwN632wgKlU/Z3rfbCDdDSVEuTkFTREFRQ006VE9STy5JUV9HUk9TU19NQVJHSU4uMTAwMC4xMi8zMS8yMDE4Li4uVVNEAQAAAHl7NmwDAAAAAAClYBnA3rfbCAqVT9net9sIM0NJUS5OWVNFOkFHQ08uSVFfR1JPU1NfTUFSR0lOLjEwMDAuMTIvMzEvMjAxNC4uLlVTRAEAAABP2AQAAgAAAAcyMS4yNTAxAQgAAAAFAAAAATEBAAAACjE4Mjk5NTA5NzgDAAAAAzE2MAIAAAAENDA3NAQAAAABMAcAAAAKMTIvMzEvMjAxNAgAAAAKMTIvMzEvMjAxNAkAAAABMKVgGcDet9sICpVP2d632wgwQ0lRLlNIU0U6NjAwMDMxLklRX1JFVFVSTl9FUVVJVFkuMTAwMC4xMi8zMS8yMDE3AQAAAC9QWQACAAAABjguOTM5NAEIAAAABQAAAAExAQAAAAoxOTUyNjIwMzg5AwAAAAIzMgIAAAAENDEyOAQAAAABMAcAAAAKMTIvMzEvMjAxNwgAAAAKMTIvMzEvMjAxNwkAAAABMKVgGcDet9sIHyoy19632wgtQ0lRLk5ZU0U6VEVYLklRX1JFVFVSTl9BU1NFVFMuMTAwMC4xMi8zMS8yMDE3</t>
  </si>
  <si>
    <t>AQAAAA6zBAACAAAABjMuNDM3NAEIAAAABQAAAAExAQAAAAoyMDE0Mjc2OTUyAwAAAAMxNjACAAAABDQxNzgEAAAAATAHAAAACjEyLzMxLzIwMTcIAAAACjEyLzMxLzIwMTcJAAAAATClYBnA3rfbCNr0W9Tet9sILUNJUS5OU0VJOk0mTS5JUV9SRVRVUk5fQVNTRVRTLjEwMDAuMTIvMzEvMjAyMAEAAABCZw0AAgAAAAU0LjAyOQEIAAAABQAAAAExAQAAAAstMjE0MzgyMzE3NQMAAAACNzICAAAABDQxNzgEAAAAATAHAAAACjEyLzMxLzIwMjAIAAAACTMvMzEvMjAyMAkAAAABMKVgGcDet9sICpVP2d632wgzQ0lRLk5ZU0U6VEVYLklRX0VCSVREQV9NQVJHSU4uMTAwMC4xMi8zMS8yMDE5Li4uVVNEAQAAAA6zBAACAAAABjguODM3MwEIAAAABQAAAAExAQAAAAstMjExMjYxMzI0NQMAAAADMTYwAgAAAAQ0MDQ3BAAAAAEwBwAAAAoxMi8zMS8yMDE5CAAAAAoxMi8zMS8yMDE5CQAAAAEwpWAZwN632wgFggvR3rfbCDRDSVEuTllTRTpDTkhJLklRX0VCSVREQV9NQVJHSU4uMTAwMC4xMi8zMS8yMDIwLi4uVVNEAQAAAE5iGQYCAAAABjUuMzU4OQEIAAAABQAAAAExAQAAAAstMjA1OTAxMjUzNgMAAAADMTYwAgAAAAQ0MDQ3BAAAAAEwBwAAAAoxMi8zMS8yMDIwCAAAAAoxMi8zMS8yMDIwCQAAAAEwpWAZwN632wgKlU/Z3rfbCCxDSVEuTllTRTpDTkhJLklRX0VCSVRfTUFSR0lOLjEwMDAuMTIvMzEvMjAyMgEAAABO</t>
  </si>
  <si>
    <t>YhkGAgAAAAcxMi4yOTY3AQgAAAAFAAAAATEBAAAACy0yMDU5MDEyNTg0AwAAAAMxNjACAAAABDQwNTMEAAAAATAHAAAACjEyLzMxLzIwMjIIAAAACjEyLzMxLzIwMjIJAAAAATClYBnA3rfbCC8fUtnet9sIKUNJUS5UU0U6NjMyNi5JUV9OSV9NQVJHSU4uMTAwMC4xMi8zMS8yMDEzAQAAABlXBAACAAAABjYuNDQ3NwEIAAAABQAAAAExAQAAAAoxNzQzNTY1NzI5AwAAAAI3OQIAAAAENDA5NAQAAAABMAcAAAAKMTIvMzEvMjAxMwgAAAAJMy8zMS8yMDEzCQAAAAEwpWAZwN632wgKlU/Z3rfbCDJDSVEuVFNFOjYzMjYuSVFfR1JPU1NfTUFSR0lOLjEwMDAuMTIvMzEvMjAxNS4uLlVTRAEAAAAZVwQAAgAAAAczMS43MDkyAQgAAAAFAAAAATEBAAAACjE4Nzk1OTQ5NDgDAAAAAjc5AgAAAAQ0MDc0BAAAAAEwBwAAAAoxMi8zMS8yMDE1CAAAAAoxMi8zMS8yMDE1CQAAAAEwpWAZwN632wgKlU/Z3rfbCDBDSVEuU0hTRTo2MDAwMzEuSVFfUkVUVVJOX0VRVUlUWS4xMDAwLjEyLzMwLzIwMTYBAAAAL1BZAAIAAAAGMC4wMTg0AQgAAAAFAAAAATEBAAAACjE4Mzg1MzkwNTcDAAAAAjMyAgAAAAQ0MTI4BAAAAAEwBwAAAAoxMi8zMC8yMDE2CAAAAAoxMi8zMS8yMDE1CQAAAAEwpWAZwN632wgfKjLX3rfbCC1DSVEuTllTRTpURVguSVFfUkVUVVJOX0VRVUlUWS4xMDAwLjEyLzMxLzIwMTQBAAAADrMEAAIAAAAHMTEuNjk5</t>
  </si>
  <si>
    <t>NwEIAAAABQAAAAExAQAAAAoxODI5NTgyMDQ3AwAAAAMxNjACAAAABDQxMjgEAAAAATAHAAAACjEyLzMxLzIwMTQIAAAACjEyLzMxLzIwMTQJAAAAATClYBnA3rfbCEPKL9fet9sILUNJUS5OU0VJOk0mTS5JUV9SRVRVUk5fRVFVSVRZLjEwMDAuMTIvMzEvMjAxNwEAAABCZw0AAgAAAAYxMS44MjUBCAAAAAUAAAABMQEAAAAKMTg5NTQ2NTQzNwMAAAACNzICAAAABDQxMjgEAAAAATAHAAAACjEyLzMxLzIwMTcIAAAACTMvMzEvMjAxNwkAAAABMKVgGcDet9sICpVP2d632wguQ0lRLk5ZU0U6Q05ISS5JUV9SRVRVUk5fRVFVSVRZLjEwMDAuMTIvMzEvMjAxNQEAAABOYhkGAgAAAAY1LjA0MTYBCAAAAAUAAAABMQEAAAAKMTg3NzYwNTAyNwMAAAADMTYwAgAAAAQ0MTI4BAAAAAEwBwAAAAoxMi8zMS8yMDE1CAAAAAoxMi8zMS8yMDE1CQAAAAEwpWAZwN632wgKlU/Z3rfbCDBDSVEuU0hTRTo2MDAwMzEuSVFfUkVUVVJOX0FTU0VUUy4xMDAwLjEyLzMxLzIwMTgBAAAAL1BZAAIAAAAGNy4xNjY4AQgAAAAFAAAAATEBAAAACjIwMzAxMjgyMjkDAAAAAjMyAgAAAAQ0MTc4BAAAAAEwBwAAAAoxMi8zMS8yMDE4CAAAAAoxMi8zMS8yMDE4CQAAAAEwpWAZwN632wja9FvU3rfbCC1DSVEuTllTRTpURVguSVFfUkVUVVJOX0FTU0VUUy4xMDAwLjEyLzMwLzIwMTYBAAAADrMEAAIAAAAGMy41MjAyAQgAAAAFAAAAATEBAAAA</t>
  </si>
  <si>
    <t>CjE4NzQ4MzI2NjMDAAAAAzE2MAIAAAAENDE3OAQAAAABMAcAAAAKMTIvMzAvMjAxNggAAAAKMTIvMzEvMjAxNQkAAAABMKVgGcDet9sI2vRb1N632wgtQ0lRLk5TRUk6TSZNLklRX1JFVFVSTl9BU1NFVFMuMTAwMC4xMi8zMS8yMDE5AQAAAEJnDQACAAAABjUuMDQ2MQEIAAAABQAAAAExAQAAAAoyMDQ0OTQxNDEwAwAAAAI3MgIAAAAENDE3OAQAAAABMAcAAAAKMTIvMzEvMjAxOQgAAAAJMy8zMS8yMDE5CQAAAAEwpWAZwN632wgKlU/Z3rfbCDJDSVEuTllTRTpERS5JUV9FQklUREFfTUFSR0lOLjEwMDAuMTIvMzEvMjAyMi4uLlVTRAEAAACADwQAAgAAAAcyMC41NTQzAQgAAAAFAAAAATEBAAAACy0yMDY1Mzg4NDY4AwAAAAMxNjACAAAABDQwNDcEAAAAATAHAAAACjEyLzMxLzIwMjIIAAAACjEwLzMwLzIwMjIJAAAAATClYBnA3rfbCC8fUtnet9sIM0NJUS5OWVNFOlRFWC5JUV9FQklUREFfTUFSR0lOLjEwMDAuMTIvMzEvMjAxOC4uLlVTRAEAAAAOswQAAgAAAAY5LjM1NTMBCAAAAAUAAAABMQEAAAAKMjA3OTk2NTEyNQMAAAADMTYwAgAAAAQ0MDQ3BAAAAAEwBwAAAAoxMi8zMS8yMDE4CAAAAAoxMi8zMS8yMDE4CQAAAAEwpWAZwN632wisHwnR3rfbCDRDSVEuTllTRTpDTkhJLklRX0VCSVREQV9NQVJHSU4uMTAwMC4xMi8zMS8yMDE5Li4uVVNEAQAAAE5iGQYCAAAABjguNzA3NQEIAAAABQAAAAExAQAA</t>
  </si>
  <si>
    <t>AAstMjEwOTc4NTgzMgMAAAADMTYwAgAAAAQ0MDQ3BAAAAAEwBwAAAAoxMi8zMS8yMDE5CAAAAAoxMi8zMS8yMDE5CQAAAAEwpWAZwN632wgKlU/Z3rfbCC5DSVEuU0hTRTo2MDAwMzEuSVFfRUJJVF9NQVJHSU4uMTAwMC4xMi8zMS8yMDIyAQAAAC9QWQACAAAABjUuNTIzNQEIAAAABQAAAAExAQAAAAstMjA1MjU1OTQ3NAMAAAACMzICAAAABDQwNTMEAAAAATAHAAAACjEyLzMxLzIwMjIIAAAACjEyLzMxLzIwMjIJAAAAATClYBnA3rfbCBUbpM7et9sILENJUS5OWVNFOkNOSEkuSVFfRUJJVF9NQVJHSU4uMTAwMC4xMi8zMS8yMDIxAQAAAE5iGQYCAAAABzEwLjgzMjkBCAAAAAUAAAABMQEAAAALLTIwNTkwMTI2MDMDAAAAAzE2MAIAAAAENDA1MwQAAAABMAcAAAAKMTIvMzEvMjAyMQgAAAAKMTIvMzEvMjAyMQkAAAABMKVgGcDet9sILx9S2d632wgpQ0lRLlRTRTo2NTAxLklRX05JX01BUkdJTi4xMDAwLjEyLzMxLzIwMTMBAAAAmy0CAAIAAAAGMS45MzkyAQgAAAAFAAAAATEBAAAACjE2ODU1MjE3MjIDAAAAAjc5AgAAAAQ0MDk0BAAAAAEwBwAAAAoxMi8zMS8yMDEzCAAAAAkzLzMxLzIwMTMJAAAAATClYBnA3rfbCIR+esret9sILUNJUS5UU0U6NjUwMS5JUV9SRVRVUk5fRVFVSVRZLjEwMDAuMTIvMzEvMjAyMAEAAACbLQIAAgAAAAYyLjk3MjQBCAAAAAUAAAABMQEAAAALLTIxMjA1NTc0ODYDAAAAAjc5</t>
  </si>
  <si>
    <t>AgAAAAQ0MTI4BAAAAAEwBwAAAAoxMi8zMS8yMDIwCAAAAAkzLzMxLzIwMjAJAAAAATClYBnA3rfbCB8qMtfet9sILUNJUS5OWVNFOkNBVC5JUV9SRVRVUk5fRVFVSVRZLjEwMDAuMTIvMzAvMjAxNgEAAAAy9QMAAgAAAAcxNS45MTI0AQgAAAAFAAAAATEBAAAACjE4NzQ1MjQ0NTMDAAAAAzE2MAIAAAAENDEyOAQAAAABMAcAAAAKMTIvMzAvMjAxNggAAAAKMTIvMzEvMjAxNQkAAAABMKVgGcDet9sIHyoy19632wgyQ0lRLk5BU0RBUUNNOlRPUk8uSVFfUkVUVVJOX0VRVUlUWS4xMDAwLjEyLzMxLzIwMjEBAAAAeXs2bAMAAAAAAKVgGcDet9sILx9S2d632wgtQ0lRLlRTRTo2MzI2LklRX1JFVFVSTl9FUVVJVFkuMTAwMC4xMi8zMS8yMDE5AQAAABlXBAACAAAABzEwLjczNjEBCAAAAAUAAAABMQEAAAAKMjA4NTI4ODIwMQMAAAACNzkCAAAABDQxMjgEAAAAATAHAAAACjEyLzMxLzIwMTkIAAAACjEyLzMxLzIwMTkJAAAAATClYBnA3rfbCAqVT9net9sILkNJUS5OWVNFOkFHQ08uSVFfUkVUVVJOX0VRVUlUWS4xMDAwLjEyLzMxLzIwMTcBAAAAT9gEAAIAAAAGNi4zODE3AQgAAAAFAAAAATEBAAAACjIwMTgzNjA4MjMDAAAAAzE2MAIAAAAENDEyOAQAAAABMAcAAAAKMTIvMzEvMjAxNwgAAAAKMTIvMzEvMjAxNwkAAAABMKVgGcDet9sICpVP2d632wgtQ0lRLlRTRTo2NTAxLklRX1JFVFVSTl9BU1NFVFMuMTAw</t>
  </si>
  <si>
    <t>MC4xMi8zMS8yMDIyAQAAAJstAgACAAAABTMuNTg1AQgAAAAFAAAAATEBAAAACy0yMDg4ODIxNjcxAwAAAAI3OQIAAAAENDE3OAQAAAABMAcAAAAKMTIvMzEvMjAyMggAAAAJMy8zMS8yMDIyCQAAAAEwpWAZwN632whHV17U3rfbCC1DSVEuTllTRTpDQVQuSVFfUkVUVVJOX0FTU0VUUy4xMDAwLjEyLzMxLzIwMTgBAAAAMvUDAAIAAAAGNi43MDIyAQgAAAAFAAAAATEBAAAACjIwODA2NDgxNDMDAAAAAzE2MAIAAAAENDE3OAQAAAABMAcAAAAKMTIvMzEvMjAxOAgAAAAKMTIvMzEvMjAxOAkAAAABMKVgGcDet9sI2vRb1N632wgtQ0lRLlRTRTo2MzI2LklRX1JFVFVSTl9BU1NFVFMuMTAwMC4xMi8zMS8yMDIxAQAAABlXBAACAAAABjQuMzQ5NwEIAAAABQAAAAExAQAAAAstMjEwNzcxNDAxNAMAAAACNzkCAAAABDQxNzgEAAAAATAHAAAACjEyLzMxLzIwMjEIAAAACjEyLzMxLzIwMjEJAAAAATClYBnA3rfbCC8fUtnet9sILkNJUS5OWVNFOkFHQ08uSVFfUkVUVVJOX0FTU0VUUy4xMDAwLjEyLzMxLzIwMTkBAAAAT9gEAAIAAAAGNC4yNTE0AQgAAAAFAAAAATEBAAAACy0yMTEwNDU3Mjg4AwAAAAMxNjACAAAABDQxNzgEAAAAATAHAAAACjEyLzMxLzIwMTkIAAAACjEyLzMxLzIwMTkJAAAAATClYBnA3rfbCAqVT9net9sIMkNJUS5OWVNFOkRFLklRX0VCSVREQV9NQVJHSU4uMTAwMC4xMi8zMS8yMDEzLi4uVVNE</t>
  </si>
  <si>
    <t>AQAAAIAPBAACAAAABzE4LjAwNTEBCAAAAAUAAAABMQEAAAAKMTc3NDI3NDE3NwMAAAADMTYwAgAAAAQ0MDQ3BAAAAAEwBwAAAAoxMi8zMS8yMDEzCAAAAAoxMC8zMS8yMDEzCQAAAAEwpWAZwN632wgKlU/Z3rfbCDNDSVEuTllTRTpDQVQuSVFfRUJJVERBX01BUkdJTi4xMDAwLjEyLzMxLzIwMjAuLi5VU0QBAAAAMvUDAAIAAAAHMTcuNDA2OAEIAAAABQAAAAExAQAAAAstMjA2MDg4MTkzNgMAAAADMTYwAgAAAAQ0MDQ3BAAAAAEwBwAAAAoxMi8zMS8yMDIwCAAAAAoxMi8zMS8yMDIwCQAAAAEwpWAZwN632wgFggvR3rfbCDJDSVEuTllTRTpERS5JUV9FQklUREFfTUFSR0lOLjEwMDAuMTIvMzEvMjAxNC4uLlVTRAEAAACADwQAAgAAAAcxNy4zMjg3AQgAAAAFAAAAATEBAAAACjE4MjI5Njg2ODUDAAAAAzE2MAIAAAAENDA0NwQAAAABMAcAAAAKMTIvMzEvMjAxNAgAAAAKMTAvMzEvMjAxNAkAAAABMKVgGcDet9sICpVP2d632wg0Q0lRLk5ZU0U6QUdDTy5JUV9FQklUREFfTUFSR0lOLjEwMDAuMTIvMzEvMjAyMS4uLlVTRAEAAABP2AQAAgAAAAcxMS42NjA2AQgAAAAFAAAAATEBAAAACy0yMDU5MDEyNTQ1AwAAAAMxNjACAAAABDQwNDcEAAAAATAHAAAACjEyLzMxLzIwMjEIAAAACjEyLzMxLzIwMjEJAAAAATClYBnA3rfbCC8fUtnet9sIKkNJUS5OWVNFOkRFLklRX0VCSVRfTUFSR0lOLjEwMDAuMTIvMzEv</t>
  </si>
  <si>
    <t>MjAxNQEAAACADwQAAgAAAAY5LjA4NjIBCAAAAAUAAAABMQEAAAAKMTg2OTk3MTgwMQMAAAADMTYwAgAAAAQ0MDUzBAAAAAEwBwAAAAoxMi8zMS8yMDE1CAAAAAkxMS8xLzIwMTUJAAAAATClYBnA3rfbCAqVT9net9sILkNJUS5TSFNFOjYwMDAzMS5JUV9FQklUX01BUkdJTi4xMDAwLjEyLzMxLzIwMTMBAAAAL1BZAAIAAAAGOC4zODA3AQgAAAAFAAAAATEBAAAACjE3Mjk1NDU2NzYDAAAAAjMyAgAAAAQ0MDUzBAAAAAEwBwAAAAoxMi8zMS8yMDEzCAAAAAoxMi8zMS8yMDEzCQAAAAEwpWAZwN632wgiuKHO3rfbCCtDSVEuTllTRTpDQVQuSVFfRUJJVF9NQVJHSU4uMTAwMC4xMi8zMS8yMDIyAQAAADL1AwACAAAABzE2LjQxNjcBCAAAAAUAAAABMQEAAAALLTIwNjA4ODE5MzcDAAAAAzE2MAIAAAAENDA1MwQAAAABMAcAAAAKMTIvMzEvMjAyMggAAAAKMTIvMzEvMjAyMgkAAAABMKVgGcDet9sIFRukzt632wgqQ0lRLk5ZU0U6REUuSVFfRUJJVF9NQVJHSU4uMTAwMC4xMi8zMC8yMDE2AQAAAIAPBAACAAAABjguODY3MwEIAAAABQAAAAExAQAAAAoxOTM2MDA0OTc4AwAAAAMxNjACAAAABDQwNTMEAAAAATAHAAAACjEyLzMwLzIwMTYIAAAACjEwLzMwLzIwMTYJAAAAATClYBnA3rfbCAqVT9net9sIK0NJUS5OU0VJOk0mTS5JUV9FQklUX01BUkdJTi4xMDAwLjEyLzMxLzIwMTQBAAAAQmcNAAIAAAAHMTEuNDM4</t>
  </si>
  <si>
    <t>MgEIAAAABQAAAAExAQAAAAoxNzQ1NzI4NzYzAwAAAAI3MgIAAAAENDA1MwQAAAABMAcAAAAKMTIvMzEvMjAxNAgAAAAJMy8zMS8yMDE0CQAAAAEwpWAZwN632wgKlU/Z3rfbCChDSVEuTllTRTpERS5JUV9OSV9NQVJHSU4uMTAwMC4xMi8zMS8yMDE3AQAAAIAPBAACAAAABjcuNDI2NgEIAAAABQAAAAExAQAAAAoxOTk2OTk4NzA2AwAAAAMxNjACAAAABDQwOTQEAAAAATAHAAAACjEyLzMxLzIwMTcIAAAACjEwLzI5LzIwMTcJAAAAATClYBnA3rfbCAqVT9net9sILENJUS5TSFNFOjYwMDAzMS5JUV9OSV9NQVJHSU4uMTAwMC4xMi8zMS8yMDE1AQAAAC9QWQACAAAABjAuMDIxMQEIAAAABQAAAAExAQAAAAoxODM4NTM5MDU3AwAAAAIzMgIAAAAENDA5NAQAAAABMAcAAAAKMTIvMzEvMjAxNQgAAAAKMTIvMzEvMjAxNQkAAAABMKVgGcDet9sIhH56yt632wgpQ0lRLk5ZU0U6VEVYLklRX05JX01BUkdJTi4xMDAwLjEyLzMxLzIwMTMBAAAADrMEAAIAAAAGMy4xOTAyAQgAAAAFAAAAATEBAAAACjE3NzcyNzk2MTMDAAAAAzE2MAIAAAAENDA5NAQAAAABMAcAAAAKMTIvMzEvMjAxMwgAAAAKMTIvMzEvMjAxMwkAAAABMKVgGcDet9sIhH56yt632wgoQ0lRLk5ZU0U6REUuSVFfTklfTUFSR0lOLjEwMDAuMTIvMzEvMjAxOAEAAACADwQAAgAAAAY2LjM0NTQBCAAAAAUAAAABMQEAAAAKMjA3NTI0NzExOQMAAAADMTYw</t>
  </si>
  <si>
    <t>AgAAAAQ0MDk0BAAAAAEwBwAAAAoxMi8zMS8yMDE4CAAAAAoxMC8yOC8yMDE4CQAAAAEwpWAZwN632wgKlU/Z3rfbCClDSVEuTlNFSTpNJk0uSVFfTklfTUFSR0lOLjEwMDAuMTIvMzAvMjAxNgEAAABCZw0AAgAAAAY0LjEyNzEBCAAAAAUAAAABMQEAAAAKMTg0OTE4MjI2MgMAAAACNzICAAAABDQwOTQEAAAAATAHAAAACjEyLzMwLzIwMTYIAAAACTMvMzEvMjAxNgkAAAABMKVgGcDet9sICpVP2d632wgxQ0lRLk5ZU0U6REUuSVFfR1JPU1NfTUFSR0lOLjEwMDAuMTIvMzEvMjAxOS4uLlVTRAEAAACADwQAAgAAAAcyMy4zOTM1AQgAAAAFAAAAATEBAAAACy0yMTE2Nzg1MDY0AwAAAAMxNjACAAAABDQwNzQEAAAAATAHAAAACjEyLzMxLzIwMTkIAAAACTExLzMvMjAxOQkAAAABMKVgGcDet9sICpVP2d632wg1Q0lRLlNIU0U6NjAwMDMxLklRX0dST1NTX01BUkdJTi4xMDAwLjEyLzMxLzIwMTcuLi5VU0QBAAAAL1BZAAIAAAAHMjkuNDY5OQEIAAAABQAAAAExAQAAAAoxOTUyNjIwMzg5AwAAAAIzMgIAAAAENDA3NAQAAAABMAcAAAAKMTIvMzEvMjAxNwgAAAAKMTIvMzEvMjAxNwkAAAABMKVgGcDet9sIbKcNxt632wgyQ0lRLk5ZU0U6VEVYLklRX0dST1NTX01BUkdJTi4xMDAwLjEyLzMxLzIwMTUuLi5VU0QBAAAADrMEAAIAAAAGMTkuMzQ2AQgAAAAFAAAAATEBAAAACjE4NzQ4MzI2NjMDAAAAAzE2MAIAAAAE</t>
  </si>
  <si>
    <t>NDA3NAQAAAABMAcAAAAKMTIvMzEvMjAxNQgAAAAKMTIvMzEvMjAxNQkAAAABMKVgGcDet9sI9B9fxd632wgxQ0lRLk5ZU0U6REUuSVFfR1JPU1NfTUFSR0lOLjEwMDAuMTIvMzEvMjAyMC4uLlVTRAEAAACADwQAAgAAAAcyNS4xNTYyAQgAAAAFAAAAATEBAAAACy0yMTE2Nzg1MDY5AwAAAAMxNjACAAAABDQwNzQEAAAAATAHAAAACjEyLzMxLzIwMjAIAAAACTExLzEvMjAyMAkAAAABMKVgGcDet9sICpVP2d632wgyQ0lRLk5TRUk6TSZNLklRX0dST1NTX01BUkdJTi4xMDAwLjEyLzMxLzIwMTguLi5VU0QBAAAAQmcNAAIAAAAFNDIuOTQBCAAAAAUAAAABMQEAAAAKMTk3MDYzODExMAMAAAACNzICAAAABDQwNzQEAAAAATAHAAAACjEyLzMxLzIwMTgIAAAACTMvMzEvMjAxOAkAAAABMKVgGcDet9sICpVP2d632wgtQ0lRLlRTRTo2NTAxLklRX1JFVFVSTl9FUVVJVFkuMTAwMC4xMi8zMS8yMDE5AQAAAJstAgACAAAABjcuMzk3NgEIAAAABQAAAAExAQAAAAoyMDYyOTM4MDIzAwAAAAI3OQIAAAAENDEyOAQAAAABMAcAAAAKMTIvMzEvMjAxOQgAAAAJMy8zMS8yMDE5CQAAAAEwpWAZwN632wgfKjLX3rfbCC1DSVEuTllTRTpDQVQuSVFfUkVUVVJOX0VRVUlUWS4xMDAwLjEyLzMxLzIwMTUBAAAAMvUDAAIAAAAHMTUuOTEyNAEIAAAABQAAAAExAQAAAAoxODc0NTI0NDUzAwAAAAMxNjACAAAABDQxMjgEAAAAATAH</t>
  </si>
  <si>
    <t>AAAACjEyLzMxLzIwMTUIAAAACjEyLzMxLzIwMTUJAAAAATClYBnA3rfbCEPKL9fet9sIMkNJUS5OQVNEQVFDTTpUT1JPLklRX1JFVFVSTl9FUVVJVFkuMTAwMC4xMi8zMS8yMDIwAQAAAHl7NmwDAAAAAAClYBnA3rfbCAqVT9net9sILUNJUS5UU0U6NjMyNi5JUV9SRVRVUk5fRVFVSVRZLjEwMDAuMTIvMzEvMjAxOAEAAAAZVwQAAgAAAAcxMC42NzkzAQgAAAAFAAAAATEBAAAACjIwMjMwNTYwOTcDAAAAAjc5AgAAAAQ0MTI4BAAAAAEwBwAAAAoxMi8zMS8yMDE4CAAAAAoxMi8zMS8yMDE4CQAAAAEwpWAZwN632wgKlU/Z3rfbCC5DSVEuTllTRTpBR0NPLklRX1JFVFVSTl9FUVVJVFkuMTAwMC4xMi8zMC8yMDE2AQAAAE/YBAACAAAABjguMjc1NgEIAAAABQAAAAExAQAAAAoxODc2NzM0NTQwAwAAAAMxNjACAAAABDQxMjgEAAAAATAHAAAACjEyLzMwLzIwMTYIAAAACjEyLzMxLzIwMTUJAAAAATClYBnA3rfbCAqVT9net9sILUNJUS5UU0U6NjUwMS5JUV9SRVRVUk5fQVNTRVRTLjEwMDAuMTIvMzEvMjAyMQEAAACbLQIAAgAAAAYyLjg0MTUBCAAAAAUAAAABMQEAAAALLTIwODg4MjE2NDkDAAAAAjc5AgAAAAQ0MTc4BAAAAAEwBwAAAAoxMi8zMS8yMDIxCAAAAAkzLzMxLzIwMjEJAAAAATClYBnA3rfbCEdXXtTet9sILUNJUS5OWVNFOkNBVC5JUV9SRVRVUk5fQVNTRVRTLjEwMDAuMTIvMzEvMjAxNwEAAAAy</t>
  </si>
  <si>
    <t>9QMAAgAAAAY0LjU5NTYBCAAAAAUAAAABMQEAAAAKMjAxNTg2OTIxNwMAAAADMTYwAgAAAAQ0MTc4BAAAAAEwBwAAAAoxMi8zMS8yMDE3CAAAAAoxMi8zMS8yMDE3CQAAAAEwpWAZwN632wja9FvU3rfbCDJDSVEuTkFTREFRQ006VE9STy5JUV9SRVRVUk5fQVNTRVRTLjEwMDAuMTIvMzEvMjAyMgEAAAB5ezZsAgAAAAcyMS40NzY3AQgAAAAFAAAAATEBAAAACy0yMDMzMzQ2OTAwAwAAAAMxNjACAAAABDQxNzgEAAAAATAHAAAACjEyLzMxLzIwMjIIAAAACjEyLzMxLzIwMjIJAAAAATClYBnA3rfbCC8fUtnet9sILUNJUS5UU0U6NjMyNi5JUV9SRVRVUk5fQVNTRVRTLjEwMDAuMTIvMzEvMjAyMAEAAAAZVwQAAgAAAAYzLjU3NjEBCAAAAAUAAAABMQEAAAALLTIxMDc3MTQwMDgDAAAAAjc5AgAAAAQ0MTc4BAAAAAEwBwAAAAoxMi8zMS8yMDIwCAAAAAoxMi8zMS8yMDIwCQAAAAEwpWAZwN632wgKlU/Z3rfbCC5DSVEuTllTRTpBR0NPLklRX1JFVFVSTl9BU1NFVFMuMTAwMC4xMi8zMS8yMDE4AQAAAE/YBAACAAAABjMuOTg2OAEIAAAABQAAAAExAQAAAAoyMDgyNDk3NzEzAwAAAAMxNjACAAAABDQxNzgEAAAAATAHAAAACjEyLzMxLzIwMTgIAAAACjEyLzMxLzIwMTgJAAAAATClYBnA3rfbCAqVT9net9sIM0NJUS5OWVNFOkNBVC5JUV9FQklUREFfTUFSR0lOLjEwMDAuMTIvMzEvMjAxOS4uLlVTRAEAAAAy9QMA</t>
  </si>
  <si>
    <t>AgAAAAcxOS44Njk4AQgAAAAFAAAAATEBAAAACy0yMTEyMTU3MTU5AwAAAAMxNjACAAAABDQwNDcEAAAAATAHAAAACjEyLzMxLzIwMTkIAAAACjEyLzMxLzIwMTkJAAAAATClYBnA3rfbCAWCC9Het9sIM0NJUS5UU0U6NjMyNi5JUV9FQklUREFfTUFSR0lOLjEwMDAuMTIvMzEvMjAyMi4uLlVTRAEAAAAZVwQAAgAAAAcxMS4xMTMzAQgAAAAFAAAAATEBAAAACy0yMDU1NjE2NDM0AwAAAAI3OQIAAAAENDA0NwQAAAABMAcAAAAKMTIvMzEvMjAyMggAAAAKMTIvMzEvMjAyMgkAAAABMKVgGcDet9sILx9S2d632wg0Q0lRLk5ZU0U6QUdDTy5JUV9FQklUREFfTUFSR0lOLjEwMDAuMTIvMzEvMjAyMC4uLlVTRAEAAABP2AQAAgAAAAY5Ljg4MTEBCAAAAAUAAAABMQEAAAALLTIwNTkwMTI1NzcDAAAAAzE2MAIAAAAENDA0NwQAAAABMAcAAAAKMTIvMzEvMjAyMAgAAAAKMTIvMzEvMjAyMAkAAAABMKVgGcDet9sICpVP2d632wgqQ0lRLk5ZU0U6REUuSVFfRUJJVF9NQVJHSU4uMTAwMC4xMi8zMS8yMDE0AQAAAIAPBAACAAAABzEzLjk5ODYBCAAAAAUAAAABMQEAAAAKMTgyMjk2ODY4NQMAAAADMTYwAgAAAAQ0MDUzBAAAAAEwBwAAAAoxMi8zMS8yMDE0CAAAAAoxMC8zMS8yMDE0CQAAAAEwpWAZwN632wgKlU/Z3rfbCCtDSVEuTllTRTpDQVQuSVFfRUJJVF9NQVJHSU4uMTAwMC4xMi8zMS8yMDIxAQAAADL1AwACAAAA</t>
  </si>
  <si>
    <t>BzE2LjIzMjcBCAAAAAUAAAABMQEAAAALLTIwNjA4ODE5NDEDAAAAAzE2MAIAAAAENDA1MwQAAAABMAcAAAAKMTIvMzEvMjAyMQgAAAAKMTIvMzEvMjAyMQkAAAABMKVgGcDet9sIFRukzt632wgrQ0lRLk5TRUk6TSZNLklRX0VCSVRfTUFSR0lOLjEwMDAuMTIvMzEvMjAxMwEAAABCZw0AAgAAAAcxMC44NDc2AQgAAAAFAAAAATEBAAAACjE2OTAxMDIyNzUDAAAAAjcyAgAAAAQ0MDUzBAAAAAEwBwAAAAoxMi8zMS8yMDEzCAAAAAkzLzMxLzIwMTMJAAAAATClYBnA3rfbCAqVT9net9sILENJUS5OWVNFOkFHQ08uSVFfRUJJVF9NQVJHSU4uMTAwMC4xMi8zMS8yMDIyAQAAAE/YBAACAAAABzEwLjI3NzEBCAAAAAUAAAABMQEAAAALLTIwNTkwMTI2MDcDAAAAAzE2MAIAAAAENDA1MwQAAAABMAcAAAAKMTIvMzEvMjAyMggAAAAKMTIvMzEvMjAyMgkAAAABMKVgGcDet9sILx9S2d632wgoQ0lRLk5ZU0U6REUuSVFfTklfTUFSR0lOLjEwMDAuMTIvMzAvMjAxNgEAAACADwQAAgAAAAY1LjczOTkBCAAAAAUAAAABMQEAAAAKMTkzNjAwNDk3OAMAAAADMTYwAgAAAAQ0MDk0BAAAAAEwBwAAAAoxMi8zMC8yMDE2CAAAAAoxMC8zMC8yMDE2CQAAAAEwpWAZwN632wgKlU/Z3rfbCCxDSVEuU0hTRTo2MDAwMzEuSVFfTklfTUFSR0lOLjEwMDAuMTIvMzEvMjAxNAEAAAAvUFkAAgAAAAYyLjMzNTYBCAAAAAUAAAABMQEAAAAK</t>
  </si>
  <si>
    <t>MTc4OTAwODEzOAMAAAACMzICAAAABDQwOTQEAAAAATAHAAAACjEyLzMxLzIwMTQIAAAACjEyLzMxLzIwMTQJAAAAATClYBnA3rfbCIR+esret9sIKUNJUS5OU0VJOk0mTS5JUV9OSV9NQVJHSU4uMTAwMC4xMi8zMS8yMDE1AQAAAEJnDQACAAAABjQuNDE1NgEIAAAABQAAAAExAQAAAAoxNzk5Mjk2NTcwAwAAAAI3MgIAAAAENDA5NAQAAAABMAcAAAAKMTIvMzEvMjAxNQgAAAAJMy8zMS8yMDE1CQAAAAEwpWAZwN632wgKlU/Z3rfbCDFDSVEuTllTRTpERS5JUV9HUk9TU19NQVJHSU4uMTAwMC4xMi8zMS8yMDE4Li4uVVNEAQAAAIAPBAACAAAABzI0LjA3NjgBCAAAAAUAAAABMQEAAAAKMjA3NTI0NzExOQMAAAADMTYwAgAAAAQ0MDc0BAAAAAEwBwAAAAoxMi8zMS8yMDE4CAAAAAoxMC8yOC8yMDE4CQAAAAEwpWAZwN632wgKlU/Z3rfbCDVDSVEuU0hTRTo2MDAwMzEuSVFfR1JPU1NfTUFSR0lOLjEwMDAuMTIvMzAvMjAxNi4uLlVTRAEAAAAvUFkAAgAAAAcyNC4zOTA0AQgAAAAFAAAAATEBAAAACjE4Mzg1MzkwNTcDAAAAAjMyAgAAAAQ0MDc0BAAAAAEwBwAAAAoxMi8zMC8yMDE2CAAAAAoxMi8zMS8yMDE1CQAAAAEwpWAZwN632wh0zg3G3rfbCDJDSVEuTllTRTpURVguSVFfR1JPU1NfTUFSR0lOLjEwMDAuMTIvMzEvMjAxNC4uLlVTRAEAAAAOswQAAgAAAAcxOS4xNzk0AQgAAAAFAAAAATEBAAAACjE4Mjk1</t>
  </si>
  <si>
    <t>ODIwNDcDAAAAAzE2MAIAAAAENDA3NAQAAAABMAcAAAAKMTIvMzEvMjAxNAgAAAAKMTIvMzEvMjAxNAkAAAABMKVgGcDet9sI9B9fxd632wgyQ0lRLk5TRUk6TSZNLklRX0dST1NTX01BUkdJTi4xMDAwLjEyLzMxLzIwMTcuLi5VU0QBAAAAQmcNAAIAAAAHNDAuOTgyNQEIAAAABQAAAAExAQAAAAoxODk1NDY1NDM3AwAAAAI3MgIAAAAENDA3NAQAAAABMAcAAAAKMTIvMzEvMjAxNwgAAAAJMy8zMS8yMDE3CQAAAAEwpWAZwN632wgKlU/Z3rfbCC1DSVEuVFNFOjY1MDEuSVFfUkVUVVJOX0VRVUlUWS4xMDAwLjEyLzMxLzIwMTgBAAAAmy0CAAIAAAAHMTEuNzc3MwEIAAAABQAAAAExAQAAAAoxOTY5OTAzMjkxAwAAAAI3OQIAAAAENDEyOAQAAAABMAcAAAAKMTIvMzEvMjAxOAgAAAAJMy8zMS8yMDE4CQAAAAEwpWAZwN632wgfKjLX3rfbCC1DSVEuTllTRTpDQVQuSVFfUkVUVVJOX0VRVUlUWS4xMDAwLjEyLzMxLzIwMTQBAAAAMvUDAAIAAAAHMTMuMDkxNAEIAAAABQAAAAExAQAAAAoxODI3ODY5MTY1AwAAAAMxNjACAAAABDQxMjgEAAAAATAHAAAACjEyLzMxLzIwMTQIAAAACjEyLzMxLzIwMTQJAAAAATClYBnA3rfbCEPKL9fet9sIMkNJUS5OQVNEQVFDTTpUT1JPLklRX1JFVFVSTl9FUVVJVFkuMTAwMC4xMi8zMS8yMDE5AQAAAHl7NmwDAAAAAAClYBnA3rfbCAqVT9net9sILUNJUS5UU0U6NjMyNi5JUV9S</t>
  </si>
  <si>
    <t>RVRVUk5fRVFVSVRZLjEwMDAuMTIvMzEvMjAxNwEAAAAZVwQAAgAAAAYxMC45MzkBCAAAAAUAAAABMQEAAAAKMTg3OTU5NDk0MgMAAAACNzkCAAAABDQxMjgEAAAAATAHAAAACjEyLzMxLzIwMTcIAAAACjEyLzMxLzIwMTcJAAAAATClYBnA3rfbCAqVT9net9sILkNJUS5OWVNFOkFHQ08uSVFfUkVUVVJOX0VRVUlUWS4xMDAwLjEyLzMxLzIwMTUBAAAAT9gEAAIAAAAGOC4yNzU2AQgAAAAFAAAAATEBAAAACjE4NzY3MzQ1NDADAAAAAzE2MAIAAAAENDEyOAQAAAABMAcAAAAKMTIvMzEvMjAxNQgAAAAKMTIvMzEvMjAxNQkAAAABMKVgGcDet9sICpVP2d632wgtQ0lRLlRTRTo2NTAxLklRX1JFVFVSTl9BU1NFVFMuMTAwMC4xMi8zMS8yMDIwAQAAAJstAgACAAAABjQuMjMwNQEIAAAABQAAAAExAQAAAAstMjEyMDU1NzQ4NgMAAAACNzkCAAAABDQxNzgEAAAAATAHAAAACjEyLzMxLzIwMjAIAAAACTMvMzEvMjAyMAkAAAABMKVgGcDet9sIR1de1N632wgtQ0lRLk5ZU0U6Q0FULklRX1JFVFVSTl9BU1NFVFMuMTAwMC4xMi8zMC8yMDE2AQAAADL1AwACAAAABjMuNTcyMwEIAAAABQAAAAExAQAAAAoxODc0NTI0NDUzAwAAAAMxNjACAAAABDQxNzgEAAAAATAHAAAACjEyLzMwLzIwMTYIAAAACjEyLzMxLzIwMTUJAAAAATClYBnA3rfbCNr0W9Tet9sIMkNJUS5OQVNEQVFDTTpUT1JPLklRX1JFVFVSTl9BU1NFVFMu</t>
  </si>
  <si>
    <t>MTAwMC4xMi8zMS8yMDIxAQAAAHl7NmwDAAAAAAClYBnA3rfbCC8fUtnet9sILUNJUS5UU0U6NjMyNi5JUV9SRVRVUk5fQVNTRVRTLjEwMDAuMTIvMzEvMjAxOQEAAAAZVwQAAgAAAAY0LjMzNjEBCAAAAAUAAAABMQEAAAAKMjA4NTI4ODIwMQMAAAACNzkCAAAABDQxNzgEAAAAATAHAAAACjEyLzMxLzIwMTkIAAAACjEyLzMxLzIwMTkJAAAAATClYBnA3rfbCAqVT9net9sILkNJUS5OWVNFOkFHQ08uSVFfUkVUVVJOX0FTU0VUUy4xMDAwLjEyLzMxLzIwMTcBAAAAT9gEAAIAAAAGMy40MjEzAQgAAAAFAAAAATEBAAAACjIwMTgzNjA4MjMDAAAAAzE2MAIAAAAENDE3OAQAAAABMAcAAAAKMTIvMzEvMjAxNwgAAAAKMTIvMzEvMjAxNwkAAAABMKVgGcDet9sICpVP2d632wgzQ0lRLlRTRTo2NTAxLklRX0VCSVREQV9NQVJHSU4uMTAwMC4xMi8zMS8yMDIyLi4uVVNEAQAAAJstAgACAAAABzEwLjgyNDMBCAAAAAUAAAABMQEAAAALLTIwODg4MjE2NzEDAAAAAjc5AgAAAAQ0MDQ3BAAAAAEwBwAAAAoxMi8zMS8yMDIyCAAAAAkzLzMxLzIwMjIJAAAAATClYBnA3rfbCAWCC9Het9sIM0NJUS5OWVNFOkNBVC5JUV9FQklUREFfTUFSR0lOLjEwMDAuMTIvMzEvMjAxOC4uLlVTRAEAAAAy9QMAAgAAAAYyMC4yODgBCAAAAAUAAAABMQEAAAAKMjA4MDY0ODE0MwMAAAADMTYwAgAAAAQ0MDQ3BAAAAAEwBwAAAAoxMi8zMS8y</t>
  </si>
  <si>
    <t>MDE4CAAAAAoxMi8zMS8yMDE4CQAAAAEwpWAZwN632wisHwnR3rfbCDNDSVEuVFNFOjYzMjYuSVFfRUJJVERBX01BUkdJTi4xMDAwLjEyLzMxLzIwMjEuLi5VU0QBAAAAGVcEAAIAAAAHMTMuMDMyNgEIAAAABQAAAAExAQAAAAstMjEwNzcxNDAxNAMAAAACNzkCAAAABDQwNDcEAAAAATAHAAAACjEyLzMxLzIwMjEIAAAACjEyLzMxLzIwMjEJAAAAATClYBnA3rfbCF33Udnet9sINENJUS5OWVNFOkFHQ08uSVFfRUJJVERBX01BUkdJTi4xMDAwLjEyLzMxLzIwMTkuLi5VU0QBAAAAT9gEAAIAAAAGOC43OTYyAQgAAAAFAAAAATEBAAAACy0yMTEwNDU3Mjg4AwAAAAMxNjACAAAABDQwNDcEAAAAATAHAAAACjEyLzMxLzIwMTkIAAAACjEyLzMxLzIwMTkJAAAAATClYBnA3rfbCAqVT9net9sIKkNJUS5OWVNFOkRFLklRX0VCSVRfTUFSR0lOLjEwMDAuMTIvMzEvMjAxMwEAAACADwQAAgAAAAYxNS4yMzMBCAAAAAUAAAABMQEAAAAKMTc3NDI3NDE3NwMAAAADMTYwAgAAAAQ0MDUzBAAAAAEwBwAAAAoxMi8zMS8yMDEzCAAAAAoxMC8zMS8yMDEzCQAAAAEwpWAZwN632wgKlU/Z3rfbCCtDSVEuTllTRTpDQVQuSVFfRUJJVF9NQVJHSU4uMTAwMC4xMi8zMS8yMDIwAQAAADL1AwACAAAABzExLjU4MTMBCAAAAAUAAAABMQEAAAALLTIwNjA4ODE5MzYDAAAAAzE2MAIAAAAENDA1MwQAAAABMAcAAAAKMTIvMzEvMjAyMAgA</t>
  </si>
  <si>
    <t>AAAKMTIvMzEvMjAyMAkAAAABMKVgGcDet9sIFRukzt632wgsQ0lRLk5ZU0U6QUdDTy5JUV9FQklUX01BUkdJTi4xMDAwLjEyLzMxLzIwMjEBAAAAT9gEAAIAAAAGOS4xMzA2AQgAAAAFAAAAATEBAAAACy0yMDU5MDEyNTQ1AwAAAAMxNjACAAAABDQwNTMEAAAAATAHAAAACjEyLzMxLzIwMjEIAAAACjEyLzMxLzIwMjEJAAAAATClYBnA3rfbCC8fUtnet9sIKENJUS5OWVNFOkRFLklRX05JX01BUkdJTi4xMDAwLjEyLzMxLzIwMTUBAAAAgA8EAAIAAAAGNi43NDA2AQgAAAAFAAAAATEBAAAACjE4Njk5NzE4MDEDAAAAAzE2MAIAAAAENDA5NAQAAAABMAcAAAAKMTIvMzEvMjAxNQgAAAAJMTEvMS8yMDE1CQAAAAEwpWAZwN632wgKlU/Z3rfbCCxDSVEuU0hTRTo2MDAwMzEuSVFfTklfTUFSR0lOLjEwMDAuMTIvMzEvMjAxMwEAAAAvUFkAAgAAAAY3Ljc3ODYBCAAAAAUAAAABMQEAAAAKMTcyOTU0NTY3NgMAAAACMzICAAAABDQwOTQEAAAAATAHAAAACjEyLzMxLzIwMTMIAAAACjEyLzMxLzIwMTMJAAAAATClYBnA3rfbCIR+esret9sIKUNJUS5OWVNFOkNBVC5JUV9OSV9NQVJHSU4uMTAwMC4xMi8zMS8yMDIyAQAAADL1AwACAAAABzExLjI4MjcBCAAAAAUAAAABMQEAAAALLTIwNjA4ODE5MzcDAAAAAzE2MAIAAAAENDA5NAQAAAABMAcAAAAKMTIvMzEvMjAyMggAAAAKMTIvMzEvMjAyMgkAAAABMKVgGcDet9sI</t>
  </si>
  <si>
    <t>REN/yt632wgpQ0lRLk5TRUk6TSZNLklRX05JX01BUkdJTi4xMDAwLjEyLzMxLzIwMTQBAAAAQmcNAAIAAAAGNi4zNTE4AQgAAAAFAAAAATEBAAAACjE3NDU3Mjg3NjMDAAAAAjcyAgAAAAQ0MDk0BAAAAAEwBwAAAAoxMi8zMS8yMDE0CAAAAAkzLzMxLzIwMTQJAAAAATClYBnA3rfbCAqVT9net9sIMUNJUS5OWVNFOkRFLklRX0dST1NTX01BUkdJTi4xMDAwLjEyLzMxLzIwMTcuLi5VU0QBAAAAgA8EAAIAAAAHMjMuMzEzOQEIAAAABQAAAAExAQAAAAoxOTk2OTk4NzA2AwAAAAMxNjACAAAABDQwNzQEAAAAATAHAAAACjEyLzMxLzIwMTcIAAAACjEwLzI5LzIwMTcJAAAAATClYBnA3rfbCAqVT9net9sINUNJUS5TSFNFOjYwMDAzMS5JUV9HUk9TU19NQVJHSU4uMTAwMC4xMi8zMS8yMDE1Li4uVVNEAQAAAC9QWQACAAAABzI0LjM5MDQBCAAAAAUAAAABMQEAAAAKMTgzODUzOTA1NwMAAAACMzICAAAABDQwNzQEAAAAATAHAAAACjEyLzMxLzIwMTUIAAAACjEyLzMxLzIwMTUJAAAAATClYBnA3rfbCPQfX8Xet9sIMkNJUS5OWVNFOlRFWC5JUV9HUk9TU19NQVJHSU4uMTAwMC4xMi8zMS8yMDEzLi4uVVNEAQAAAA6zBAACAAAABzIwLjQ3NTcBCAAAAAUAAAABMQEAAAAKMTc3NzI3OTYxMwMAAAADMTYwAgAAAAQ0MDc0BAAAAAEwBwAAAAoxMi8zMS8yMDEzCAAAAAoxMi8zMS8yMDEzCQAAAAEwpWAZwN632wj0H1/F</t>
  </si>
  <si>
    <t>3rfbCDJDSVEuTlNFSTpNJk0uSVFfR1JPU1NfTUFSR0lOLjEwMDAuMTIvMzAvMjAxNi4uLlVTRAEAAABCZw0AAgAAAAc0MC42NDc2AQgAAAAFAAAAATEBAAAACjE4NDkxODIyNjIDAAAAAjcyAgAAAAQ0MDc0BAAAAAEwBwAAAAoxMi8zMC8yMDE2CAAAAAkzLzMxLzIwMTYJAAAAATClYBnA3rfbCAqVT9net9sILUNJUS5UU0U6NjUwMS5JUV9SRVRVUk5fRVFVSVRZLjEwMDAuMTIvMzEvMjAxNwEAAACbLQIAAgAAAAY4LjM2NjcBCAAAAAUAAAABMQEAAAAKMTk2MzMxNTkwMAMAAAACNzkCAAAABDQxMjgEAAAAATAHAAAACjEyLzMxLzIwMTcIAAAACTMvMzEvMjAxNwkAAAABMKVgGcDet9sIHyoy19632wgtQ0lRLk5ZU0U6Q0FULklRX1JFVFVSTl9FUVVJVFkuMTAwMC4xMi8zMS8yMDEzAQAAADL1AwACAAAABzE5Ljc3NjMBCAAAAAUAAAABMQEAAAAKMTc3NjQ0MjEwMgMAAAADMTYwAgAAAAQ0MTI4BAAAAAEwBwAAAAoxMi8zMS8yMDEzCAAAAAoxMi8zMS8yMDEzCQAAAAEwpWAZwN632whDyi/X3rfbCDJDSVEuTkFTREFRQ006VE9STy5JUV9SRVRVUk5fRVFVSVRZLjEwMDAuMTIvMzEvMjAxOAEAAAB5ezZsAwAAAAAApWAZwN632wgKlU/Z3rfbCC1DSVEuVFNFOjYzMjYuSVFfUkVUVVJOX0VRVUlUWS4xMDAwLjEyLzMwLzIwMTYBAAAAGVcEAAMAAAAAAKVgGcDet9sICpVP2d632wguQ0lRLk5ZU0U6QUdDTy5JUV9S</t>
  </si>
  <si>
    <t>RVRVUk5fRVFVSVRZLjEwMDAuMTIvMzEvMjAxNAEAAABP2AQAAgAAAAYxMC43MTkBCAAAAAUAAAABMQEAAAAKMTgyOTk1MDk3OAMAAAADMTYwAgAAAAQ0MTI4BAAAAAEwBwAAAAoxMi8zMS8yMDE0CAAAAAoxMi8zMS8yMDE0CQAAAAEwpWAZwN632wgKlU/Z3rfbCC1DSVEuVFNFOjY1MDEuSVFfUkVUVVJOX0FTU0VUUy4xMDAwLjEyLzMxLzIwMTkBAAAAmy0CAAIAAAAGNC43ODIzAQgAAAAFAAAAATEBAAAACjIwNjI5MzgwMjMDAAAAAjc5AgAAAAQ0MTc4BAAAAAEwBwAAAAoxMi8zMS8yMDE5CAAAAAkzLzMxLzIwMTkJAAAAATClYBnA3rfbCNr0W9Tet9sILUNJUS5OWVNFOkNBVC5JUV9SRVRVUk5fQVNTRVRTLjEwMDAuMTIvMzEvMjAxNQEAAAAy9QMAAgAAAAYzLjU3MjMBCAAAAAUAAAABMQEAAAAKMTg3NDUyNDQ1MwMAAAADMTYwAgAAAAQ0MTc4BAAAAAEwBwAAAAoxMi8zMS8yMDE1CAAAAAoxMi8zMS8yMDE1CQAAAAEwpWAZwN632wja9FvU3rfbCDJDSVEuTkFTREFRQ006VE9STy5JUV9SRVRVUk5fQVNTRVRTLjEwMDAuMTIvMzEvMjAyMAEAAAB5ezZsAwAAAAAApWAZwN632wgKlU/Z3rfbCC1DSVEuVFNFOjYzMjYuSVFfUkVUVVJOX0FTU0VUUy4xMDAwLjEyLzMxLzIwMTgBAAAAGVcEAAIAAAAFNC4yODcBCAAAAAUAAAABMQEAAAAKMjAyMzA1NjA5NwMAAAACNzkCAAAABDQxNzgEAAAAATAHAAAACjEyLzMx</t>
  </si>
  <si>
    <t>LzIwMTgIAAAACjEyLzMxLzIwMTgJAAAAATClYBnA3rfbCAqVT9net9sILkNJUS5OWVNFOkFHQ08uSVFfUkVUVVJOX0FTU0VUUy4xMDAwLjEyLzMwLzIwMTYBAAAAT9gEAAIAAAAGMy40NTYxAQgAAAAFAAAAATEBAAAACjE4NzY3MzQ1NDADAAAAAzE2MAIAAAAENDE3OAQAAAABMAcAAAAKMTIvMzAvMjAxNggAAAAKMTIvMzEvMjAxNQkAAAABMKVgGcDet9sICpVP2d632wgzQ0lRLlRTRTo2NTAxLklRX0VCSVREQV9NQVJHSU4uMTAwMC4xMi8zMS8yMDIxLi4uVVNEAQAAAJstAgACAAAABTkuNDk3AQgAAAAFAAAAATEBAAAACy0yMDg4ODIxNjQ5AwAAAAI3OQIAAAAENDA0NwQAAAABMAcAAAAKMTIvMzEvMjAyMQgAAAAJMy8zMS8yMDIxCQAAAAEwpWAZwN632wgFggvR3rfbCDNDSVEuTllTRTpDQVQuSVFfRUJJVERBX01BUkdJTi4xMDAwLjEyLzMxLzIwMTcuLi5VU0QBAAAAMvUDAAIAAAAHMTguNTkzNQEIAAAABQAAAAExAQAAAAoyMDE1ODY5MjE3AwAAAAMxNjACAAAABDQwNDcEAAAAATAHAAAACjEyLzMxLzIwMTcIAAAACjEyLzMxLzIwMTcJAAAAATClYBnA3rfbCKwfCdHet9sIOENJUS5OQVNEQVFDTTpUT1JPLklRX0VCSVREQV9NQVJHSU4uMTAwMC4xMi8zMS8yMDIyLi4uVVNEAQAAAHl7NmwCAAAABzQ5LjEwMTEBCAAAAAUAAAABMQEAAAALLTIwMzMzNDY5MDADAAAAAzE2MAIAAAAENDA0NwQAAAABMAcA</t>
  </si>
  <si>
    <t>AAAKMTIvMzEvMjAyMggAAAAKMTIvMzEvMjAyMgkAAAABMKVgGcDet9sILx9S2d632wgzQ0lRLlRTRTo2MzI2LklRX0VCSVREQV9NQVJHSU4uMTAwMC4xMi8zMS8yMDIwLi4uVVNEAQAAABlXBAACAAAABzEyLjA0NTkBCAAAAAUAAAABMQEAAAALLTIxMDc3MTQwMDgDAAAAAjc5AgAAAAQ0MDQ3BAAAAAEwBwAAAAoxMi8zMS8yMDIwCAAAAAoxMi8zMS8yMDIwCQAAAAEwpWAZwN632wgKlU/Z3rfbCDRDSVEuTllTRTpBR0NPLklRX0VCSVREQV9NQVJHSU4uMTAwMC4xMi8zMS8yMDE4Li4uVVNEAQAAAE/YBAACAAAABjguNDE5NQEIAAAABQAAAAExAQAAAAoyMDgyNDk3NzEzAwAAAAMxNjACAAAABDQwNDcEAAAAATAHAAAACjEyLzMxLzIwMTgIAAAACjEyLzMxLzIwMTgJAAAAATClYBnA3rfbCAqVT9net9sILENJUS5OWVNFOkRFLklRX1JFVFVSTl9FUVVJVFkuMTAwMC4xMi8zMC8yMDE2AQAAAIAPBAACAAAABzIyLjg3NTUBCAAAAAUAAAABMQEAAAAKMTkzNjAwNDk3OAMAAAADMTYwAgAAAAQ0MTI4BAAAAAEwBwAAAAoxMi8zMC8yMDE2CAAAAAoxMC8zMC8yMDE2CQAAAAEwpWAZwN632wgKlU/Z3rfbCCxDSVEuTllTRTpERS5JUV9SRVRVUk5fRVFVSVRZLjEwMDAuMTIvMzEvMjAxNQEAAACADwQAAgAAAAcyNC41MzI0AQgAAAAFAAAAATEBAAAACjE4Njk5NzE4MDEDAAAAAzE2MAIAAAAENDEyOAQAAAABMAcAAAAK</t>
  </si>
  <si>
    <t>MTIvMzEvMjAxNQgAAAAJMTEvMS8yMDE1CQAAAAEwpWAZwN632wgKlU/Z3rfbCC5DSVEuTllTRTpDTkhJLklRX1JFVFVSTl9FUVVJVFkuMTAwMC4xMi8zMS8yMDIyAQAAAE5iGQYCAAAABzI5LjQ4ODcBCAAAAAUAAAABMQEAAAALLTIwNTkwMTI1ODQDAAAAAzE2MAIAAAAENDEyOAQAAAABMAcAAAAKMTIvMzEvMjAyMggAAAAKMTIvMzEvMjAyMgkAAAABMKVgGcDet9sILx9S2d632wgsQ0lRLk5ZU0U6REUuSVFfUkVUVVJOX0FTU0VUUy4xMDAwLjEyLzMxLzIwMTUBAAAAgA8EAAIAAAAGMi43NDA0AQgAAAAFAAAAATEBAAAACjE4Njk5NzE4MDEDAAAAAzE2MAIAAAAENDE3OAQAAAABMAcAAAAKMTIvMzEvMjAxNQgAAAAJMTEvMS8yMDE1CQAAAAEwpWAZwN632wgKlU/Z3rfbCC1DSVEuTllTRTpURVguSVFfUkVUVVJOX0FTU0VUUy4xMDAwLjEyLzMxLzIwMjIBAAAADrMEAAIAAAAFOC43NzkBCAAAAAUAAAABMQEAAAALLTIwNjE2MzE2MzkDAAAAAzE2MAIAAAAENDE3OAQAAAABMAcAAAAKMTIvMzEvMjAyMggAAAAKMTIvMzEvMjAyMgkAAAABMKVgGcDet9sIR1de1N632wgsQ0lRLk5ZU0U6REUuSVFfUkVUVVJOX0FTU0VUUy4xMDAwLjEyLzMxLzIwMTQBAAAAgA8EAAIAAAAGNS4yMTk0AQgAAAAFAAAAATEBAAAACjE4MjI5Njg2ODUDAAAAAzE2MAIAAAAENDE3OAQAAAABMAcAAAAKMTIvMzEvMjAxNAgAAAAKMTAv</t>
  </si>
  <si>
    <t>MzEvMjAxNAkAAAABMKVgGcDet9sICpVP2d632wguQ0lRLk5ZU0U6Q05ISS5JUV9SRVRVUk5fQVNTRVRTLjEwMDAuMTIvMzAvMjAxNgEAAABOYhkGAgAAAAYxLjUzMTUBCAAAAAUAAAABMQEAAAAKMTg3NzYwNTAyNwMAAAADMTYwAgAAAAQ0MTc4BAAAAAEwBwAAAAoxMi8zMC8yMDE2CAAAAAoxMi8zMS8yMDE1CQAAAAEwpWAZwN632wgKlU/Z3rfbCDNDSVEuVFNFOjY1MDEuSVFfRUJJVERBX01BUkdJTi4xMDAwLjEyLzMxLzIwMjAuLi5VU0QBAAAAmy0CAAIAAAAHMTAuOTE4MgEIAAAABQAAAAExAQAAAAstMjEyMDU1NzQ4NgMAAAACNzkCAAAABDQwNDcEAAAAATAHAAAACjEyLzMxLzIwMjAIAAAACTMvMzEvMjAyMAkAAAABMKVgGcDet9sIBYIL0d632wgzQ0lRLk5ZU0U6VEVYLklRX0VCSVREQV9NQVJHSU4uMTAwMC4xMi8zMS8yMDE1Li4uVVNEAQAAAA6zBAACAAAABjcuOTk5MgEIAAAABQAAAAExAQAAAAoxODc0ODMyNjYzAwAAAAMxNjACAAAABDQwNDcEAAAAATAHAAAACjEyLzMxLzIwMTUIAAAACjEyLzMxLzIwMTUJAAAAATClYBnA3rfbCKwfCdHet9sIOENJUS5OQVNEQVFDTTpUT1JPLklRX0VCSVREQV9NQVJHSU4uMTAwMC4xMi8zMS8yMDE5Li4uVVNEAQAAAHl7NmwDAAAAAAClYBnA3rfbCAqVT9net9sINENJUS5OWVNFOkNOSEkuSVFfRUJJVERBX01BUkdJTi4xMDAwLjEyLzMxLzIwMTQuLi5VU0QB</t>
  </si>
  <si>
    <t>AAAATmIZBgIAAAAGOS4zNjI2AQgAAAAFAAAAATEBAAAACjE4MzA0MjgwNzADAAAAAzE2MAIAAAAENDA0NwQAAAABMAcAAAAKMTIvMzEvMjAxNAgAAAAKMTIvMzEvMjAxNAkAAAABMKVgGcDet9sICpVP2d632wgrQ0lRLlRTRTo2NTAxLklRX0VCSVRfTUFSR0lOLjEwMDAuMTIvMzEvMjAxNwEAAACbLQIAAgAAAAQ2LjQxAQgAAAAFAAAAATEBAAAACjE5NjMzMTU5MDADAAAAAjc5AgAAAAQ0MDUzBAAAAAEwBwAAAAoxMi8zMS8yMDE3CAAAAAkzLzMxLzIwMTcJAAAAATClYBnA3rfbCCK4oc7et9sIK0NJUS5OWVNFOlRFWC5JUV9FQklUX01BUkdJTi4xMDAwLjEyLzMxLzIwMTMBAAAADrMEAAIAAAAGNi4yNjYyAQgAAAAFAAAAATEBAAAACjE3NzcyNzk2MTMDAAAAAzE2MAIAAAAENDA1MwQAAAABMAcAAAAKMTIvMzEvMjAxMwgAAAAKMTIvMzEvMjAxMwkAAAABMKVgGcDet9sIIrihzt632wgwQ0lRLk5BU0RBUUNNOlRPUk8uSVFfRUJJVF9NQVJHSU4uMTAwMC4xMi8zMS8yMDE4AQAAAHl7NmwDAAAAAAClYBnA3rfbCAqVT9net9sILENJUS5OWVNFOkNOSEkuSVFfRUJJVF9NQVJHSU4uMTAwMC4xMi8zMS8yMDE0AQAAAE5iGQYCAAAABjUuODYwOAEIAAAABQAAAAExAQAAAAoxODMwNDI4MDcwAwAAAAMxNjACAAAABDQwNTMEAAAAATAHAAAACjEyLzMxLzIwMTQIAAAACjEyLzMxLzIwMTQJAAAAATClYBnA3rfbCAqV</t>
  </si>
  <si>
    <t>T9net9sIKUNJUS5UU0U6NjUwMS5JUV9OSV9NQVJHSU4uMTAwMC4xMi8zMS8yMDE5AQAAAJstAgACAAAABjIuMzQ3MwEIAAAABQAAAAExAQAAAAoyMDYyOTM4MDIzAwAAAAI3OQIAAAAENDA5NAQAAAABMAcAAAAKMTIvMzEvMjAxOQgAAAAJMy8zMS8yMDE5CQAAAAEwpWAZwN632wjf4HzK3rfbCClDSVEuTllTRTpURVguSVFfTklfTUFSR0lOLjEwMDAuMTIvMzAvMjAxNgEAAAAOswQAAgAAAAYyLjkwNTMBCAAAAAUAAAABMQEAAAAKMTg3NDgzMjY2MwMAAAADMTYwAgAAAAQ0MDk0BAAAAAEwBwAAAAoxMi8zMC8yMDE2CAAAAAoxMi8zMS8yMDE1CQAAAAEwpWAZwN632wiEfnrK3rfbCC5DSVEuTkFTREFRQ006VE9STy5JUV9OSV9NQVJHSU4uMTAwMC4xMi8zMS8yMDIyAQAAAHl7NmwCAAAABzQ0LjYyMjYBCAAAAAUAAAABMQEAAAALLTIwMzMzNDY5MDADAAAAAzE2MAIAAAAENDA5NAQAAAABMAcAAAAKMTIvMzEvMjAyMggAAAAKMTIvMzEvMjAyMgkAAAABMKVgGcDet9sILx9S2d632wgqQ0lRLk5ZU0U6Q05ISS5JUV9OSV9NQVJHSU4uMTAwMC4xMi8zMS8yMDIwAQAAAE5iGQYCAAAABy0zLjMzNTgBCAAAAAUAAAABMQEAAAALLTIwNTkwMTI1MzYDAAAAAzE2MAIAAAAENDA5NAQAAAABMAcAAAAKMTIvMzEvMjAyMAgAAAAKMTIvMzEvMjAyMAkAAAABMKVgGcDet9sICpVP2d632wgxQ0lRLk5ZU0U6REUuSVFfR1JP</t>
  </si>
  <si>
    <t>U1NfTUFSR0lOLjEwMDAuMTIvMzEvMjAxNS4uLlVTRAEAAACADwQAAgAAAAcyMy41Njk4AQgAAAAFAAAAATEBAAAACjE4Njk5NzE4MDEDAAAAAzE2MAIAAAAENDA3NAQAAAABMAcAAAAKMTIvMzEvMjAxNQgAAAAJMTEvMS8yMDE1CQAAAAEwpWAZwN632wgKlU/Z3rfbCDNDSVEuTllTRTpDTkhJLklRX0dST1NTX01BUkdJTi4xMDAwLjEyLzMxLzIwMTMuLi5VU0QBAAAATmIZBgIAAAAGMTguMDk5AQgAAAAFAAAAATEBAAAACjE4MjE2ODc2MjADAAAAAzE2MAIAAAAENDA3NAQAAAABMAcAAAAKMTIvMzEvMjAxMwgAAAAKMTIvMzEvMjAxMwkAAAABMKVgGcDet9sICpVP2d632wgxQ0lRLk5ZU0U6REUuSVFfR1JPU1NfTUFSR0lOLjEwMDAuMTIvMzEvMjAyMi4uLlVTRAEAAACADwQAAgAAAAcyNy41NTkzAQgAAAAFAAAAATEBAAAACy0yMDY1Mzg4NDY4AwAAAAMxNjACAAAABDQwNzQEAAAAATAHAAAACjEyLzMxLzIwMjIIAAAACjEwLzMwLzIwMjIJAAAAATClYBnA3rfbCC8fUtnet9sIMkNJUS5UU0U6NjMyNi5JUV9HUk9TU19NQVJHSU4uMTAwMC4xMi8zMS8yMDIxLi4uVVNEAQAAABlXBAACAAAABzI4Ljc2MDcBCAAAAAUAAAABMQEAAAALLTIxMDc3MTQwMTQDAAAAAjc5AgAAAAQ0MDc0BAAAAAEwBwAAAAoxMi8zMS8yMDIxCAAAAAoxMi8zMS8yMDIxCQAAAAEwpWAZwN632whd91HZ3rfbCC1DSVEuTllTRTpURVgu</t>
  </si>
  <si>
    <t>SVFfUkVUVVJOX0VRVUlUWS4xMDAwLjEyLzMxLzIwMjIBAAAADrMEAAIAAAAHMjYuMjA5MQEIAAAABQAAAAExAQAAAAstMjA2MTYzMTYzOQMAAAADMTYwAgAAAAQ0MTI4BAAAAAEwBwAAAAoxMi8zMS8yMDIyCAAAAAoxMi8zMS8yMDIyCQAAAAEwpWAZwN632wgfKjLX3rfbCCxDSVEuTllTRTpERS5JUV9SRVRVUk5fRVFVSVRZLjEwMDAuMTIvMzEvMjAxNAEAAACADwQAAgAAAAYzMi43MjQBCAAAAAUAAAABMQEAAAAKMTgyMjk2ODY4NQMAAAADMTYwAgAAAAQ0MTI4BAAAAAEwBwAAAAoxMi8zMS8yMDE0CAAAAAoxMC8zMS8yMDE0CQAAAAEwpWAZwN632wgKlU/Z3rfbCC5DSVEuTllTRTpDTkhJLklRX1JFVFVSTl9FUVVJVFkuMTAwMC4xMi8zMS8yMDIxAQAAAE5iGQYCAAAABzMwLjMxNDcBCAAAAAUAAAABMQEAAAALLTIwNTkwMTI2MDMDAAAAAzE2MAIAAAAENDEyOAQAAAABMAcAAAAKMTIvMzEvMjAyMQgAAAAKMTIvMzEvMjAyMQkAAAABMKVgGcDet9sILx9S2d632wgtQ0lRLk5ZU0U6VEVYLklRX1JFVFVSTl9BU1NFVFMuMTAwMC4xMi8zMS8yMDIxAQAAAA6zBAACAAAABjcuMDU0MwEIAAAABQAAAAExAQAAAAstMjA2MTYzMTYyOQMAAAADMTYwAgAAAAQ0MTc4BAAAAAEwBwAAAAoxMi8zMS8yMDIxCAAAAAoxMi8zMS8yMDIxCQAAAAEwpWAZwN632whHV17U3rfbCCxDSVEuTllTRTpERS5JUV9SRVRVUk5fQVNT</t>
  </si>
  <si>
    <t>RVRTLjEwMDAuMTIvMzEvMjAxMwEAAACADwQAAgAAAAU2LjIxMwEIAAAABQAAAAExAQAAAAoxNzc0Mjc0MTc3AwAAAAMxNjACAAAABDQxNzgEAAAAATAHAAAACjEyLzMxLzIwMTMIAAAACjEwLzMxLzIwMTMJAAAAATClYBnA3rfbCAqVT9net9sILkNJUS5OWVNFOkNOSEkuSVFfUkVUVVJOX0FTU0VUUy4xMDAwLjEyLzMxLzIwMTUBAAAATmIZBgIAAAAGMS41MzE1AQgAAAAFAAAAATEBAAAACjE4Nzc2MDUwMjcDAAAAAzE2MAIAAAAENDE3OAQAAAABMAcAAAAKMTIvMzEvMjAxNQgAAAAKMTIvMzEvMjAxNQkAAAABMKVgGcDet9sICpVP2d632wgzQ0lRLlRTRTo2NTAxLklRX0VCSVREQV9NQVJHSU4uMTAwMC4xMi8zMS8yMDE5Li4uVVNEAQAAAJstAgACAAAABzExLjE0NzMBCAAAAAUAAAABMQEAAAAKMjA2MjkzODAyMwMAAAACNzkCAAAABDQwNDcEAAAAATAHAAAACjEyLzMxLzIwMTkIAAAACTMvMzEvMjAxOQkAAAABMKVgGcDet9sIBYIL0d632wgzQ0lRLk5ZU0U6VEVYLklRX0VCSVREQV9NQVJHSU4uMTAwMC4xMi8zMS8yMDE0Li4uVVNEAQAAAA6zBAACAAAABjkuMTExOQEIAAAABQAAAAExAQAAAAoxODI5NTgyMDQ3AwAAAAMxNjACAAAABDQwNDcEAAAAATAHAAAACjEyLzMxLzIwMTQIAAAACjEyLzMxLzIwMTQJAAAAATClYBnA3rfbCKwfCdHet9sIOENJUS5OQVNEQVFDTTpUT1JPLklRX0VCSVREQV9NQVJH</t>
  </si>
  <si>
    <t>SU4uMTAwMC4xMi8zMS8yMDE4Li4uVVNEAQAAAHl7NmwDAAAAAAClYBnA3rfbCAqVT9net9sINENJUS5OWVNFOkNOSEkuSVFfRUJJVERBX01BUkdJTi4xMDAwLjEyLzMxLzIwMTMuLi5VU0QBAAAATmIZBgIAAAAGOS4yMjk4AQgAAAAFAAAAATEBAAAACjE4MjE2ODc2MjADAAAAAzE2MAIAAAAENDA0NwQAAAABMAcAAAAKMTIvMzEvMjAxMwgAAAAKMTIvMzEvMjAxMwkAAAABMKVgGcDet9sICpVP2d632wgrQ0lRLlRTRTo2NTAxLklRX0VCSVRfTUFSR0lOLjEwMDAuMTIvMzAvMjAxNgEAAACbLQIAAgAAAAU2LjM0NAEIAAAABQAAAAExAQAAAAoxNzk3NTU0NDUxAwAAAAI3OQIAAAAENDA1MwQAAAABMAcAAAAKMTIvMzAvMjAxNggAAAAJMy8zMS8yMDE2CQAAAAEwpWAZwN632wgiuKHO3rfbCDBDSVEuTkFTREFRQ006VE9STy5JUV9FQklUX01BUkdJTi4xMDAwLjEyLzMxLzIwMTcBAAAAeXs2bAMAAAAAAKVgGcDet9sICpVP2d632wgpQ0lRLlRTRTo2NTAxLklRX05JX01BUkdJTi4xMDAwLjEyLzMxLzIwMTgBAAAAmy0CAAIAAAAGMy44NzQ1AQgAAAAFAAAAATEBAAAACjE5Njk5MDMyOTEDAAAAAjc5AgAAAAQ0MDk0BAAAAAEwBwAAAAoxMi8zMS8yMDE4CAAAAAkzLzMxLzIwMTgJAAAAATClYBnA3rfbCN/gfMret9sIKUNJUS5OWVNFOlRFWC5JUV9OSV9NQVJHSU4uMTAwMC4xMi8zMS8yMDE1AQAAAA6zBAACAAAA</t>
  </si>
  <si>
    <t>BjIuOTA1MwEIAAAABQAAAAExAQAAAAoxODc0ODMyNjYzAwAAAAMxNjACAAAABDQwOTQEAAAAATAHAAAACjEyLzMxLzIwMTUIAAAACjEyLzMxLzIwMTUJAAAAATClYBnA3rfbCIR+esret9sILkNJUS5OQVNEQVFDTTpUT1JPLklRX05JX01BUkdJTi4xMDAwLjEyLzMxLzIwMjEBAAAAeXs2bAIAAAAHLTQuODg3OAEIAAAABQAAAAExAQAAAAstMjAzMzM0NjgzOQMAAAADMTYwAgAAAAQ0MDk0BAAAAAEwBwAAAAoxMi8zMS8yMDIxCAAAAAoxMi8zMS8yMDIxCQAAAAEwpWAZwN632whd91HZ3rfbCCpDSVEuTllTRTpDTkhJLklRX05JX01BUkdJTi4xMDAwLjEyLzMxLzIwMTkBAAAATmIZBgIAAAAGNS4wNjQyAQgAAAAFAAAAATEBAAAACy0yMTA5Nzg1ODMyAwAAAAMxNjACAAAABDQwOTQEAAAAATAHAAAACjEyLzMxLzIwMTkIAAAACjEyLzMxLzIwMTkJAAAAATClYBnA3rfbCAqVT9net9sIMUNJUS5OWVNFOkRFLklRX0dST1NTX01BUkdJTi4xMDAwLjEyLzMxLzIwMTQuLi5VU0QBAAAAgA8EAAIAAAAHMjYuMjA5MgEIAAAABQAAAAExAQAAAAoxODIyOTY4Njg1AwAAAAMxNjACAAAABDQwNzQEAAAAATAHAAAACjEyLzMxLzIwMTQIAAAACjEwLzMxLzIwMTQJAAAAATClYBnA3rfbCAqVT9net9sIMUNJUS5OWVNFOkRFLklRX0dST1NTX01BUkdJTi4xMDAwLjEyLzMxLzIwMjEuLi5VU0QBAAAAgA8EAAIAAAAGMjcuNzcy</t>
  </si>
  <si>
    <t>AQgAAAAFAAAAATEBAAAACy0yMDY1Mzg4NDk1AwAAAAMxNjACAAAABDQwNzQEAAAAATAHAAAACjEyLzMxLzIwMjEIAAAACjEwLzMxLzIwMjEJAAAAATClYBnA3rfbCF33Udnet9sIMkNJUS5UU0U6NjMyNi5JUV9HUk9TU19NQVJHSU4uMTAwMC4xMi8zMS8yMDIwLi4uVVNEAQAAABlXBAACAAAABzI4Ljg2MDMBCAAAAAUAAAABMQEAAAALLTIxMDc3MTQwMDgDAAAAAjc5AgAAAAQ0MDc0BAAAAAEwBwAAAAoxMi8zMS8yMDIwCAAAAAoxMi8zMS8yMDIwCQAAAAEwpWAZwN632wgKlU/Z3rfbCC1DSVEuTllTRTpURVguSVFfUkVUVVJOX0VRVUlUWS4xMDAwLjEyLzMxLzIwMjEBAAAADrMEAAIAAAAHMjEuNDE2OQEIAAAABQAAAAExAQAAAAstMjA2MTYzMTYyOQMAAAADMTYwAgAAAAQ0MTI4BAAAAAEwBwAAAAoxMi8zMS8yMDIxCAAAAAoxMi8zMS8yMDIxCQAAAAEwpWAZwN632wgfKjLX3rfbCCxDSVEuTllTRTpERS5JUV9SRVRVUk5fRVFVSVRZLjEwMDAuMTIvMzEvMjAxMwEAAACADwQAAgAAAAc0MS4zMDM3AQgAAAAFAAAAATEBAAAACjE3NzQyNzQxNzcDAAAAAzE2MAIAAAAENDEyOAQAAAABMAcAAAAKMTIvMzEvMjAxMwgAAAAKMTAvMzEvMjAxMwkAAAABMKVgGcDet9sICpVP2d632wguQ0lRLk5ZU0U6Q05ISS5JUV9SRVRVUk5fRVFVSVRZLjEwMDAuMTIvMzEvMjAyMAEAAABOYhkGAgAAAActMy41NDA0AQgAAAAF</t>
  </si>
  <si>
    <t>AAAAATEBAAAACy0yMDU5MDEyNTM2AwAAAAMxNjACAAAABDQxMjgEAAAAATAHAAAACjEyLzMxLzIwMjAIAAAACjEyLzMxLzIwMjAJAAAAATClYBnA3rfbCAqVT9net9sILUNJUS5OWVNFOlRFWC5JUV9SRVRVUk5fQVNTRVRTLjEwMDAuMTIvMzEvMjAxNQEAAAAOswQAAgAAAAYzLjUyMDIBCAAAAAUAAAABMQEAAAAKMTg3NDgzMjY2MwMAAAADMTYwAgAAAAQ0MTc4BAAAAAEwBwAAAAoxMi8zMS8yMDE1CAAAAAoxMi8zMS8yMDE1CQAAAAEwpWAZwN632wja9FvU3rfbCDJDSVEuTkFTREFRQ006VE9STy5JUV9SRVRVUk5fQVNTRVRTLjEwMDAuMTIvMzEvMjAxOQEAAAB5ezZsAwAAAAAApWAZwN632wgKlU/Z3rfbCC5DSVEuTllTRTpDTkhJLklRX1JFVFVSTl9BU1NFVFMuMTAwMC4xMi8zMS8yMDE0AQAAAE5iGQYCAAAABjIuMjU1MQEIAAAABQAAAAExAQAAAAoxODMwNDI4MDcwAwAAAAMxNjACAAAABDQxNzgEAAAAATAHAAAACjEyLzMxLzIwMTQIAAAACjEyLzMxLzIwMTQJAAAAATClYBnA3rfbCAqVT9net9sIM0NJUS5UU0U6NjUwMS5JUV9FQklUREFfTUFSR0lOLjEwMDAuMTIvMzEvMjAxOC4uLlVTRAEAAACbLQIAAgAAAAcxMC43Nzc3AQgAAAAFAAAAATEBAAAACjE5Njk5MDMyOTEDAAAAAjc5AgAAAAQ0MDQ3BAAAAAEwBwAAAAoxMi8zMS8yMDE4CAAAAAkzLzMxLzIwMTgJAAAAATClYBnA3rfbCKwfCdHet9sI</t>
  </si>
  <si>
    <t>M0NJUS5OWVNFOlRFWC5JUV9FQklUREFfTUFSR0lOLjEwMDAuMTIvMzEvMjAxMy4uLlVTRAEAAAAOswQAAgAAAAY4LjI5NjEBCAAAAAUAAAABMQEAAAAKMTc3NzI3OTYxMwMAAAADMTYwAgAAAAQ0MDQ3BAAAAAEwBwAAAAoxMi8zMS8yMDEzCAAAAAoxMi8zMS8yMDEzCQAAAAEwpWAZwN632wisHwnR3rfbCDhDSVEuTkFTREFRQ006VE9STy5JUV9FQklUREFfTUFSR0lOLjEwMDAuMTIvMzEvMjAxNy4uLlVTRAEAAAB5ezZsAwAAAAAApWAZwN632wgKlU/Z3rfbCC5DSVEuU0hTRTo2MDAwMzEuSVFfRUJJVF9NQVJHSU4uMTAwMC4xMi8zMS8yMDIxAQAAAC9QWQACAAAABzEyLjI3NzcBCAAAAAUAAAABMQEAAAALLTIwNTI1NTk0NzYDAAAAAjMyAgAAAAQ0MDUzBAAAAAEwBwAAAAoxMi8zMS8yMDIxCAAAAAoxMi8zMS8yMDIxCQAAAAEwpWAZwN632wgVG6TO3rfbCCtDSVEuTllTRTpDQVQuSVFfRUJJVF9NQVJHSU4uMTAwMC4xMi8zMS8yMDE5AQAAADL1AwACAAAABzE1LjA3OTkBCAAAAAUAAAABMQEAAAALLTIxMTIxNTcxNTkDAAAAAzE2MAIAAAAENDA1MwQAAAABMAcAAAAKMTIvMzEvMjAxOQgAAAAKMTIvMzEvMjAxOQkAAAABMKVgGcDet9sIFRukzt632wgrQ0lRLk5TRUk6TSZNLklRX0VCSVRfTUFSR0lOLjEwMDAuMTIvMzEvMjAyMgEAAABCZw0AAgAAAAcxMy4xNDQ1AQgAAAAFAAAAATEBAAAACy0yMDM5MDgy</t>
  </si>
  <si>
    <t>Nzg0AwAAAAI3MgIAAAAENDA1MwQAAAABMAcAAAAKMTIvMzEvMjAyMggAAAAJMy8zMS8yMDIyCQAAAAEwpWAZwN632wgvH1LZ3rfbCCxDSVEuTllTRTpBR0NPLklRX0VCSVRfTUFSR0lOLjEwMDAuMTIvMzEvMjAyMAEAAABP2AQAAgAAAAY2LjkwODQBCAAAAAUAAAABMQEAAAALLTIwNTkwMTI1NzcDAAAAAzE2MAIAAAAENDA1MwQAAAABMAcAAAAKMTIvMzEvMjAyMAgAAAAKMTIvMzEvMjAyMAkAAAABMKVgGcDet9sICpVP2d632wgpQ0lRLk5ZU0U6VEVYLklRX05JX01BUkdJTi4xMDAwLjEyLzMxLzIwMTQBAAAADrMEAAIAAAAGNS44MTY5AQgAAAAFAAAAATEBAAAACjE4Mjk1ODIwNDcDAAAAAzE2MAIAAAAENDA5NAQAAAABMAcAAAAKMTIvMzEvMjAxNAgAAAAKMTIvMzEvMjAxNAkAAAABMKVgGcDet9sIhH56yt632wguQ0lRLk5BU0RBUUNNOlRPUk8uSVFfTklfTUFSR0lOLjEwMDAuMTIvMzEvMjAyMAEAAAB5ezZsAwAAAAAApWAZwN632wgKlU/Z3rfbCCpDSVEuTllTRTpDTkhJLklRX05JX01BUkdJTi4xMDAwLjEyLzMxLzIwMTgBAAAATmIZBgIAAAAGMy41OTUyAQgAAAAFAAAAATEBAAAACjIwODI5NDcxNzADAAAAAzE2MAIAAAAENDA5NAQAAAABMAcAAAAKMTIvMzEvMjAxOAgAAAAKMTIvMzEvMjAxOAkAAAABMKVgGcDet9sICpVP2d632wgxQ0lRLk5ZU0U6REUuSVFfR1JPU1NfTUFSR0lOLjEwMDAuMTIv</t>
  </si>
  <si>
    <t>MzEvMjAxMy4uLlVTRAEAAACADwQAAgAAAAYyNy42OTUBCAAAAAUAAAABMQEAAAAKMTc3NDI3NDE3NwMAAAADMTYwAgAAAAQ0MDc0BAAAAAEwBwAAAAoxMi8zMS8yMDEzCAAAAAoxMC8zMS8yMDEzCQAAAAEwpWAZwN632wgKlU/Z3rfbCDJDSVEuTllTRTpURVguSVFfR1JPU1NfTUFSR0lOLjEwMDAuMTIvMzEvMjAyMi4uLlVTRAEAAAAOswQAAgAAAAcxOS43MjA2AQgAAAAFAAAAATEBAAAACy0yMDYxNjMxNjM5AwAAAAMxNjACAAAABDQwNzQEAAAAATAHAAAACjEyLzMxLzIwMjIIAAAACjEyLzMxLzIwMjIJAAAAATClYBnA3rfbCG1qDsbet9sIMkNJUS5UU0U6NjMyNi5JUV9HUk9TU19NQVJHSU4uMTAwMC4xMi8zMS8yMDE5Li4uVVNEAQAAABlXBAACAAAABzI5LjE2MjIBCAAAAAUAAAABMQEAAAAKMjA4NTI4ODIwMQMAAAACNzkCAAAABDQwNzQEAAAAATAHAAAACjEyLzMxLzIwMTkIAAAACjEyLzMxLzIwMTkJAAAAATClYBnA3rfbCAqVT9net9sILUNJUS5OWVNFOlRFWC5JUV9SRVRVUk5fRVFVSVRZLjEwMDAuMTIvMzEvMjAyMAEAAAAOswQAAgAAAAYwLjk3MDkBCAAAAAUAAAABMQEAAAALLTIwNjE2MzE2MzgDAAAAAzE2MAIAAAAENDEyOAQAAAABMAcAAAAKMTIvMzEvMjAyMAgAAAAKMTIvMzEvMjAyMAkAAAABMKVgGcDet9sIHyoy19632wguQ0lRLk5ZU0U6Q05ISS5JUV9SRVRVUk5fRVFVSVRZLjEwMDAu</t>
  </si>
  <si>
    <t>MTIvMzEvMjAxNAEAAABOYhkGAgAAAAcxNC4yMzk3AQgAAAAFAAAAATEBAAAACjE4MzA0MjgwNzADAAAAAzE2MAIAAAAENDEyOAQAAAABMAcAAAAKMTIvMzEvMjAxNAgAAAAKMTIvMzEvMjAxNAkAAAABMKVgGcDet9sICpVP2d632wgtQ0lRLk5ZU0U6VEVYLklRX1JFVFVSTl9BU1NFVFMuMTAwMC4xMi8zMS8yMDE0AQAAAA6zBAACAAAABjQuMDE3MwEIAAAABQAAAAExAQAAAAoxODI5NTgyMDQ3AwAAAAMxNjACAAAABDQxNzgEAAAAATAHAAAACjEyLzMxLzIwMTQIAAAACjEyLzMxLzIwMTQJAAAAATClYBnA3rfbCNr0W9Tet9sIMkNJUS5OQVNEQVFDTTpUT1JPLklRX1JFVFVSTl9BU1NFVFMuMTAwMC4xMi8zMS8yMDE4AQAAAHl7NmwDAAAAAAClYBnA3rfbCAqVT9net9sILkNJUS5OWVNFOkNOSEkuSVFfUkVUVVJOX0FTU0VUUy4xMDAwLjEyLzMxLzIwMTMBAAAATmIZBgIAAAAGMi40MDI5AQgAAAAFAAAAATEBAAAACjE4MjE2ODc2MjADAAAAAzE2MAIAAAAENDE3OAQAAAABMAcAAAAKMTIvMzEvMjAxMwgAAAAKMTIvMzEvMjAxMwkAAAABMKVgGcDet9sICpVP2d632wgzQ0lRLlRTRTo2NTAxLklRX0VCSVREQV9NQVJHSU4uMTAwMC4xMi8zMS8yMDE3Li4uVVNEAQAAAJstAgACAAAABzEwLjA5NDMBCAAAAAUAAAABMQEAAAAKMTk2MzMxNTkwMAMAAAACNzkCAAAABDQwNDcEAAAAATAHAAAACjEyLzMxLzIwMTcI</t>
  </si>
  <si>
    <t>AAAACTMvMzEvMjAxNwkAAAABMKVgGcDet9sIrB8J0d632wg4Q0lRLk5BU0RBUUNNOlRPUk8uSVFfRUJJVERBX01BUkdJTi4xMDAwLjEyLzMwLzIwMTYuLi5VU0QBAAAAeXs2bAMAAAAAAKVgGcDet9sICpVP2d632wg0Q0lRLk5ZU0U6QUdDTy5JUV9FQklUREFfTUFSR0lOLjEwMDAuMTIvMzEvMjAyMi4uLlVTRAEAAABP2AQAAgAAAAcxMi40MDgxAQgAAAAFAAAAATEBAAAACy0yMDU5MDEyNjA3AwAAAAMxNjACAAAABDQwNDcEAAAAATAHAAAACjEyLzMxLzIwMjIIAAAACjEyLzMxLzIwMjIJAAAAATClYBnA3rfbCC8fUtnet9sILkNJUS5TSFNFOjYwMDAzMS5JUV9FQklUX01BUkdJTi4xMDAwLjEyLzMxLzIwMjABAAAAL1BZAAIAAAAHMTcuNTY3OQEIAAAABQAAAAExAQAAAAstMjEwMjA4MTAxNwMAAAACMzICAAAABDQwNTMEAAAAATAHAAAACjEyLzMxLzIwMjAIAAAACjEyLzMxLzIwMjAJAAAAATClYBnA3rfbCBUbpM7et9sIK0NJUS5OWVNFOkNBVC5JUV9FQklUX01BUkdJTi4xMDAwLjEyLzMxLzIwMTgBAAAAMvUDAAIAAAAHMTUuMjMzMwEIAAAABQAAAAExAQAAAAoyMDgwNjQ4MTQzAwAAAAMxNjACAAAABDQwNTMEAAAAATAHAAAACjEyLzMxLzIwMTgIAAAACjEyLzMxLzIwMTgJAAAAATClYBnA3rfbCBUbpM7et9sIK0NJUS5OU0VJOk0mTS5JUV9FQklUX01BUkdJTi4xMDAwLjEyLzMxLzIwMjEBAAAAQmcN</t>
  </si>
  <si>
    <t>AAIAAAAHMTQuODQ1MQEIAAAABQAAAAExAQAAAAstMjA4OTc0NDAyMAMAAAACNzICAAAABDQwNTMEAAAAATAHAAAACjEyLzMxLzIwMjEIAAAACTMvMzEvMjAyMQkAAAABMKVgGcDet9sILx9S2d632wgsQ0lRLk5ZU0U6QUdDTy5JUV9FQklUX01BUkdJTi4xMDAwLjEyLzMxLzIwMTkBAAAAT9gEAAIAAAAGNS43ODc4AQgAAAAFAAAAATEBAAAACy0yMTEwNDU3Mjg4AwAAAAMxNjACAAAABDQwNTMEAAAAATAHAAAACjEyLzMxLzIwMTkIAAAACjEyLzMxLzIwMTkJAAAAATClYBnA3rfbCAqVT9net9sILENJUS5TSFNFOjYwMDAzMS5JUV9OSV9NQVJHSU4uMTAwMC4xMi8zMS8yMDIyAQAAAC9QWQACAAAABjUuMjg2NgEIAAAABQAAAAExAQAAAAstMjA1MjU1OTQ3NAMAAAACMzICAAAABDQwOTQEAAAAATAHAAAACjEyLzMxLzIwMjIIAAAACjEyLzMxLzIwMjIJAAAAATClYBnA3rfbCERDf8ret9sIKUNJUS5OWVNFOkNBVC5JUV9OSV9NQVJHSU4uMTAwMC4xMi8zMS8yMDIxAQAAADL1AwACAAAABzEyLjczMDcBCAAAAAUAAAABMQEAAAALLTIwNjA4ODE5NDEDAAAAAzE2MAIAAAAENDA5NAQAAAABMAcAAAAKMTIvMzEvMjAyMQgAAAAKMTIvMzEvMjAyMQkAAAABMKVgGcDet9sI3+B8yt632wguQ0lRLk5BU0RBUUNNOlRPUk8uSVFfTklfTUFSR0lOLjEwMDAuMTIvMzEvMjAxOQEAAAB5ezZsAwAAAAAApWAZwN632wgKlU/Z</t>
  </si>
  <si>
    <t>3rfbCCpDSVEuTllTRTpDTkhJLklRX05JX01BUkdJTi4xMDAwLjEyLzMxLzIwMTcBAAAATmIZBgIAAAAGMC45ODE5AQgAAAAFAAAAATEBAAAACjIwMTkzMzM4OTgDAAAAAzE2MAIAAAAENDA5NAQAAAABMAcAAAAKMTIvMzEvMjAxNwgAAAAKMTIvMzEvMjAxNwkAAAABMKVgGcDet9sICpVP2d632wgyQ0lRLk5ZU0U6VEVYLklRX0dST1NTX01BUkdJTi4xMDAwLjEyLzMxLzIwMjEuLi5VU0QBAAAADrMEAAIAAAAHMTkuNDg2NAEIAAAABQAAAAExAQAAAAstMjA2MTYzMTYyOQMAAAADMTYwAgAAAAQ0MDc0BAAAAAEwBwAAAAoxMi8zMS8yMDIxCAAAAAoxMi8zMS8yMDIxCQAAAAEwpWAZwN632wi0mA7G3rfbCDFDSVEuTllTRTpERS5JUV9HUk9TU19NQVJHSU4uMTAwMC4xMi8zMC8yMDE2Li4uVVNEAQAAAIAPBAACAAAABzIzLjE3OTQBCAAAAAUAAAABMQEAAAAKMTkzNjAwNDk3OAMAAAADMTYwAgAAAAQ0MDc0BAAAAAEwBwAAAAoxMi8zMC8yMDE2CAAAAAoxMC8zMC8yMDE2CQAAAAEwpWAZwN632wgKlU/Z3rfbCDJDSVEuVFNFOjYzMjYuSVFfR1JPU1NfTUFSR0lOLjEwMDAuMTIvMzEvMjAxNC4uLlVTRAEAAAAZVwQAAgAAAAczMC4wMDEyAQgAAAAFAAAAATEBAAAACjE3ODI0NDYzNTUDAAAAAjc5AgAAAAQ0MDc0BAAAAAEwBwAAAAoxMi8zMS8yMDE0CAAAAAkzLzMxLzIwMTQJAAAAATClYBnA3rfbCAqVT9net9sI</t>
  </si>
  <si>
    <t>LUNJUS5OWVNFOlRFWC5JUV9SRVRVUk5fRVFVSVRZLjEwMDAuMTIvMzEvMjAxOQEAAAAOswQAAgAAAAYyMy4zODcBCAAAAAUAAAABMQEAAAALLTIxMTI2MTMyNDUDAAAAAzE2MAIAAAAENDEyOAQAAAABMAcAAAAKMTIvMzEvMjAxOQgAAAAKMTIvMzEvMjAxOQkAAAABMKVgGcDet9sIHyoy19632wgyQ0lRLk5BU0RBUUNNOlRPUk8uSVFfUkVUVVJOX0VRVUlUWS4xMDAwLjEyLzMxLzIwMjIBAAAAeXs2bAIAAAAHNDAuODM0OQEIAAAABQAAAAExAQAAAAstMjAzMzM0NjkwMAMAAAADMTYwAgAAAAQ0MTI4BAAAAAEwBwAAAAoxMi8zMS8yMDIyCAAAAAoxMi8zMS8yMDIyCQAAAAEwpWAZwN632wgvH1LZ3rfbCC5DSVEuTllTRTpDTkhJLklRX1JFVFVSTl9FUVVJVFkuMTAwMC4xMi8zMS8yMDEzAQAAAE5iGQYCAAAABzEzLjczNjgBCAAAAAUAAAABMQEAAAAKMTgyMTY4NzYyMAMAAAADMTYwAgAAAAQ0MTI4BAAAAAEwBwAAAAoxMi8zMS8yMDEzCAAAAAoxMi8zMS8yMDEzCQAAAAEwpWAZwN632wgKlU/Z3rfbCC1DSVEuVFNFOjY1MDEuSVFfUkVUVVJOX0FTU0VUUy4xMDAwLjEyLzMxLzIwMTgBAAAAmy0CAAIAAAAGNC41MTgyAQgAAAAFAAAAATEBAAAACjE5Njk5MDMyOTEDAAAAAjc5AgAAAAQ0MTc4BAAAAAEwBwAAAAoxMi8zMS8yMDE4CAAAAAkzLzMxLzIwMTgJAAAAATClYBnA3rfbCNr0W9Tet9sILUNJUS5OWVNF</t>
  </si>
  <si>
    <t>OlRFWC5JUV9SRVRVUk5fQVNTRVRTLjEwMDAuMTIvMzEvMjAxMwEAAAAOswQAAgAAAAY0LjE3NzMBCAAAAAUAAAABMQEAAAAKMTc3NzI3OTYxMwMAAAADMTYwAgAAAAQ0MTc4BAAAAAEwBwAAAAoxMi8zMS8yMDEzCAAAAAoxMi8zMS8yMDEzCQAAAAEwpWAZwN632wja9FvU3rfbCDJDSVEuTkFTREFRQ006VE9STy5JUV9SRVRVUk5fQVNTRVRTLjEwMDAuMTIvMzEvMjAxNwEAAAB5ezZsAwAAAAAApWAZwN632wgKlU/Z3rfbCDNDSVEuVFNFOjY1MDEuSVFfRUJJVERBX01BUkdJTi4xMDAwLjEyLzMwLzIwMTYuLi5VU0QBAAAAmy0CAAIAAAAHMTEuNDA0NgEIAAAABQAAAAExAQAAAAoxNzk3NTU0NDUxAwAAAAI3OQIAAAAENDA0NwQAAAABMAcAAAAKMTIvMzAvMjAxNggAAAAJMy8zMS8yMDE2CQAAAAEwpWAZwN632wisHwnR3rfbCDNDSVEuTllTRTpDQVQuSVFfRUJJVERBX01BUkdJTi4xMDAwLjEyLzMxLzIwMjIuLi5VU0QBAAAAMvUDAAIAAAAHMjAuMDE2MQEIAAAABQAAAAExAQAAAAstMjA2MDg4MTkzNwMAAAADMTYwAgAAAAQ0MDQ3BAAAAAEwBwAAAAoxMi8zMS8yMDIyCAAAAAoxMi8zMS8yMDIyCQAAAAEwpWAZwN632wgFggvR3rfbCDhDSVEuTkFTREFRQ006VE9STy5JUV9FQklUREFfTUFSR0lOLjEwMDAuMTIvMzEvMjAxNS4uLlVTRAEAAAB5ezZsAwAAAAAApWAZwN632wgKlU/Z3rfbCDRDSVEuTllTRTpB</t>
  </si>
  <si>
    <t>R0NPLklRX0VCSVREQV9NQVJHSU4uMTAwMC4xMi8zMS8yMDE3Li4uVVNEAQAAAE/YBAACAAAABjguMzU3MwEIAAAABQAAAAExAQAAAAoyMDE4MzYwODIzAwAAAAMxNjACAAAABDQwNDcEAAAAATAHAAAACjEyLzMxLzIwMTcIAAAACjEyLzMxLzIwMTcJAAAAATClYBnA3rfbCAqVT9net9sILkNJUS5TSFNFOjYwMDAzMS5JUV9FQklUX01BUkdJTi4xMDAwLjEyLzMxLzIwMTkBAAAAL1BZAAIAAAAHMTYuODEzNgEIAAAABQAAAAExAQAAAAoyMDg2OTE3ODc2AwAAAAIzMgIAAAAENDA1MwQAAAABMAcAAAAKMTIvMzEvMjAxOQgAAAAKMTIvMzEvMjAxOQkAAAABMKVgGcDet9sIFRukzt632wgrQ0lRLk5ZU0U6Q0FULklRX0VCSVRfTUFSR0lOLjEwMDAuMTIvMzEvMjAxNwEAAAAy9QMAAgAAAAcxMi4yNjUxAQgAAAAFAAAAATEBAAAACjIwMTU4NjkyMTcDAAAAAzE2MAIAAAAENDA1MwQAAAABMAcAAAAKMTIvMzEvMjAxNwgAAAAKMTIvMzEvMjAxNwkAAAABMKVgGcDet9sIIrihzt632wgrQ0lRLk5TRUk6TSZNLklRX0VCSVRfTUFSR0lOLjEwMDAuMTIvMzEvMjAyMAEAAABCZw0AAgAAAAcxMy45NzgyAQgAAAAFAAAAATEBAAAACy0yMTQzODIzMTc1AwAAAAI3MgIAAAAENDA1MwQAAAABMAcAAAAKMTIvMzEvMjAyMAgAAAAJMy8zMS8yMDIwCQAAAAEwpWAZwN632wgKlU/Z3rfbCCxDSVEuTllTRTpBR0NPLklRX0VCSVRf</t>
  </si>
  <si>
    <t>TUFSR0lOLjEwMDAuMTIvMzEvMjAxOAEAAABP2AQAAgAAAAY1LjMxOTcBCAAAAAUAAAABMQEAAAAKMjA4MjQ5NzcxMwMAAAADMTYwAgAAAAQ0MDUzBAAAAAEwBwAAAAoxMi8zMS8yMDE4CAAAAAoxMi8zMS8yMDE4CQAAAAEwpWAZwN632wgKlU/Z3rfbCCxDSVEuU0hTRTo2MDAwMzEuSVFfTklfTUFSR0lOLjEwMDAuMTIvMzEvMjAyMQEAAAAvUFkAAgAAAAcxMS4yNTk0AQgAAAAFAAAAATEBAAAACy0yMDUyNTU5NDc2AwAAAAIzMgIAAAAENDA5NAQAAAABMAcAAAAKMTIvMzEvMjAyMQgAAAAKMTIvMzEvMjAyMQkAAAABMKVgGcDet9sI3+B8yt632wgpQ0lRLk5ZU0U6Q0FULklRX05JX01BUkdJTi4xMDAwLjEyLzMxLzIwMjABAAAAMvUDAAIAAAAGNy4xODExAQgAAAAFAAAAATEBAAAACy0yMDYwODgxOTM2AwAAAAMxNjACAAAABDQwOTQEAAAAATAHAAAACjEyLzMxLzIwMjAIAAAACjEyLzMxLzIwMjAJAAAAATClYBnA3rfbCN/gfMret9sILkNJUS5OQVNEQVFDTTpUT1JPLklRX05JX01BUkdJTi4xMDAwLjEyLzMxLzIwMTQBAAAAeXs2bAMAAAAAAKVgGcDet9sICpVP2d632wgqQ0lRLk5ZU0U6Q05ISS5JUV9OSV9NQVJHSU4uMTAwMC4xMi8zMC8yMDE2AQAAAE5iGQYCAAAABjAuOTc2MwEIAAAABQAAAAExAQAAAAoxODc3NjA1MDI3AwAAAAMxNjACAAAABDQwOTQEAAAAATAHAAAACjEyLzMwLzIwMTYIAAAACjEy</t>
  </si>
  <si>
    <t>LzMxLzIwMTUJAAAAATClYBnA3rfbCAqVT9net9sIMkNJUS5UU0U6NjUwMS5JUV9HUk9TU19NQVJHSU4uMTAwMC4xMi8zMS8yMDIyLi4uVVNEAQAAAJstAgACAAAABzI0LjkyNjYBCAAAAAUAAAABMQEAAAALLTIwODg4MjE2NzEDAAAAAjc5AgAAAAQ0MDc0BAAAAAEwBwAAAAoxMi8zMS8yMDIyCAAAAAkzLzMxLzIwMjIJAAAAATClYBnA3rfbCLSYDsbet9sIMkNJUS5OWVNFOlRFWC5JUV9HUk9TU19NQVJHSU4uMTAwMC4xMi8zMS8yMDIwLi4uVVNEAQAAAA6zBAACAAAABzE3LjUzMDIBCAAAAAUAAAABMQEAAAALLTIwNjE2MzE2MzgDAAAAAzE2MAIAAAAENDA3NAQAAAABMAcAAAAKMTIvMzEvMjAyMAgAAAAKMTIvMzEvMjAyMAkAAAABMKVgGcDet9sItJgOxt632wgyQ0lRLlRTRTo2MzI2LklRX0dST1NTX01BUkdJTi4xMDAwLjEyLzMxLzIwMTMuLi5VU0QBAAAAGVcEAAIAAAAHMjcuMjMzMQEIAAAABQAAAAExAQAAAAoxNzQzNTY1NzI5AwAAAAI3OQIAAAAENDA3NAQAAAABMAcAAAAKMTIvMzEvMjAxMwgAAAAJMy8zMS8yMDEzCQAAAAEwpWAZwN632wgKlU/Z3rfbCC1DSVEuVFNFOjY1MDEuSVFfUkVUVVJOX0VRVUlUWS4xMDAwLjEyLzMxLzIwMjIBAAAAmy0CAAIAAAAHMTMuNjcyMgEIAAAABQAAAAExAQAAAAstMjA4ODgyMTY3MQMAAAACNzkCAAAABDQxMjgEAAAAATAHAAAACjEyLzMxLzIwMjIIAAAACTMv</t>
  </si>
  <si>
    <t>MzEvMjAyMgkAAAABMKVgGcDet9sIHyoy19632wgtQ0lRLk5ZU0U6VEVYLklRX1JFVFVSTl9FUVVJVFkuMTAwMC4xMi8zMS8yMDEzAQAAAA6zBAACAAAABjguOTY4NwEIAAAABQAAAAExAQAAAAoxNzc3Mjc5NjEzAwAAAAMxNjACAAAABDQxMjgEAAAAATAHAAAACjEyLzMxLzIwMTMIAAAACjEyLzMxLzIwMTMJAAAAATClYBnA3rfbCEPKL9fet9sIMkNJUS5OQVNEQVFDTTpUT1JPLklRX1JFVFVSTl9FUVVJVFkuMTAwMC4xMi8zMS8yMDE3AQAAAHl7NmwDAAAAAAClYBnA3rfbCAqVT9net9sIMENJUS5TSFNFOjYwMDAzMS5JUV9SRVRVUk5fRVFVSVRZLjEwMDAuMTIvMzEvMjAxNQEAAAAvUFkAAgAAAAYwLjAxODQBCAAAAAUAAAABMQEAAAAKMTgzODUzOTA1NwMAAAACMzICAAAABDQxMjgEAAAAATAHAAAACjEyLzMxLzIwMTUIAAAACjEyLzMxLzIwMTUJAAAAATClYBnA3rfbCEPKL9fet9sILUNJUS5OU0VJOk0mTS5JUV9SRVRVUk5fRVFVSVRZLjEwMDAuMTIvMzEvMjAxNAEAAABCZw0AAgAAAAcxOC45ODM1AQgAAAAFAAAAATEBAAAACjE3NDU3Mjg3NjMDAAAAAjcyAgAAAAQ0MTI4BAAAAAEwBwAAAAoxMi8zMS8yMDE0CAAAAAkzLzMxLzIwMTQJAAAAATClYBnA3rfbCAqVT9net9sIMENJUS5TSFNFOjYwMDAzMS5JUV9SRVRVUk5fQVNTRVRTLjEwMDAuMTIvMzEvMjAxNAEAAAAvUFkAAgAAAAYxLjUzMjgBCAAA</t>
  </si>
  <si>
    <t>AAUAAAABMQEAAAAKMTc4OTAwODEzOAMAAAACMzICAAAABDQxNzgEAAAAATAHAAAACjEyLzMxLzIwMTQIAAAACjEyLzMxLzIwMTQJAAAAATClYBnA3rfbCNr0W9Tet9sILUNJUS5OU0VJOk0mTS5JUV9SRVRVUk5fQVNTRVRTLjEwMDAuMTIvMzEvMjAxMwEAAABCZw0AAgAAAAY2LjU3MDUBCAAAAAUAAAABMQEAAAAKMTY5MDEwMjI3NQMAAAACNzICAAAABDQxNzgEAAAAATAHAAAACjEyLzMxLzIwMTMIAAAACTMvMzEvMjAxMwkAAAABMKVgGcDet9sICpVP2d632wgzQ0lRLlRTRTo2MzI2LklRX0VCSVREQV9NQVJHSU4uMTAwMC4xMi8zMS8yMDE4Li4uVVNEAQAAABlXBAACAAAABzEzLjAxMTkBCAAAAAUAAAABMQEAAAAKMjAyMzA1NjA5NwMAAAACNzkCAAAABDQwNDcEAAAAATAHAAAACjEyLzMxLzIwMTgIAAAACjEyLzMxLzIwMTgJAAAAATClYBnA3rfbCAqVT9net9sIKkNJUS5OWVNFOkRFLklRX0VCSVRfTUFSR0lOLjEwMDAuMTIvMzEvMjAyMAEAAACADwQAAgAAAAcxMi44MDYyAQgAAAAFAAAAATEBAAAACy0yMTE2Nzg1MDY5AwAAAAMxNjACAAAABDQwNTMEAAAAATAHAAAACjEyLzMxLzIwMjAIAAAACTExLzEvMjAyMAkAAAABMKVgGcDet9sICpVP2d632wgsQ0lRLk5ZU0U6Q05ISS5JUV9FQklUX01BUkdJTi4xMDAwLjEyLzMxLzIwMTcBAAAATmIZBgIAAAAGNS4xODM5AQgAAAAFAAAAATEBAAAACjIwMTkz</t>
  </si>
  <si>
    <t>MzM4OTgDAAAAAzE2MAIAAAAENDA1MwQAAAABMAcAAAAKMTIvMzEvMjAxNwgAAAAKMTIvMzEvMjAxNwkAAAABMKVgGcDet9sICpVP2d632wgrQ0lRLlRTRTo2MzI2LklRX0VCSVRfTUFSR0lOLjEwMDAuMTIvMzEvMjAxOAEAAAAZVwQAAgAAAAcxMC42NTcxAQgAAAAFAAAAATEBAAAACjIwMjMwNTYwOTcDAAAAAjc5AgAAAAQ0MDUzBAAAAAEwBwAAAAoxMi8zMS8yMDE4CAAAAAoxMi8zMS8yMDE4CQAAAAEwpWAZwN632wgKlU/Z3rfbCChDSVEuTllTRTpERS5JUV9OSV9NQVJHSU4uMTAwMC4xMi8zMS8yMDIxAQAAAIAPBAACAAAABzEzLjU1NzUBCAAAAAUAAAABMQEAAAALLTIwNjUzODg0OTUDAAAAAzE2MAIAAAAENDA5NAQAAAABMAcAAAAKMTIvMzEvMjAyMQgAAAAKMTAvMzEvMjAyMQkAAAABMKVgGcDet9sIXfdR2d632wg1Q0lRLlNIU0U6NjAwMDMxLklRX0dST1NTX01BUkdJTi4xMDAwLjEyLzMxLzIwMTkuLi5VU0QBAAAAL1BZAAIAAAAHMzIuODk2NQEIAAAABQAAAAExAQAAAAoyMDg2OTE3ODc2AwAAAAIzMgIAAAAENDA3NAQAAAABMAcAAAAKMTIvMzEvMjAxOQgAAAAKMTIvMzEvMjAxOQkAAAABMKVgGcDet9sItJgOxt632wgyQ0lRLk5ZU0U6Q0FULklRX0dST1NTX01BUkdJTi4xMDAwLjEyLzMxLzIwMTguLi5VU0QBAAAAMvUDAAIAAAAGMjcuMjM0AQgAAAAFAAAAATEBAAAACjIwODA2NDgxNDMDAAAA</t>
  </si>
  <si>
    <t>AzE2MAIAAAAENDA3NAQAAAABMAcAAAAKMTIvMzEvMjAxOAgAAAAKMTIvMzEvMjAxOAkAAAABMKVgGcDet9sItJgOxt632wgsQ0lRLk5ZU0U6REUuSVFfUkVUVVJOX0VRVUlUWS4xMDAwLjEyLzMxLzIwMTcBAAAAgA8EAAIAAAAHMjYuNzg3NwEIAAAABQAAAAExAQAAAAoxOTk2OTk4NzA2AwAAAAMxNjACAAAABDQxMjgEAAAAATAHAAAACjEyLzMxLzIwMTcIAAAACjEwLzI5LzIwMTcJAAAAATClYBnA3rfbCAqVT9net9sILUNJUS5OWVNFOkNBVC5JUV9SRVRVUk5fRVFVSVRZLjEwMDAuMTIvMzEvMjAxNwEAAAAy9QMAAgAAAAY1LjYyNjUBCAAAAAUAAAABMQEAAAAKMjAxNTg2OTIxNwMAAAADMTYwAgAAAAQ0MTI4BAAAAAEwBwAAAAoxMi8zMS8yMDE3CAAAAAoxMi8zMS8yMDE3CQAAAAEwpWAZwN632wgfKjLX3rfbCC1DSVEuVFNFOjYzMjYuSVFfUkVUVVJOX0VRVUlUWS4xMDAwLjEyLzMxLzIwMTUBAAAAGVcEAAMAAAAAAKVgGcDet9sICpVP2d632wgtQ0lRLlRTRTo2NTAxLklRX1JFVFVSTl9BU1NFVFMuMTAwMC4xMi8zMS8yMDE1AQAAAJstAgACAAAABjMuNDA2NgEIAAAABQAAAAExAQAAAAoxNzQ1MjcwNjcyAwAAAAI3OQIAAAAENDE3OAQAAAABMAcAAAAKMTIvMzEvMjAxNQgAAAAJMy8zMS8yMDE1CQAAAAEwpWAZwN632wja9FvU3rfbCC1DSVEuVFNFOjYzMjYuSVFfUkVUVVJOX0FTU0VUUy4xMDAwLjEy</t>
  </si>
  <si>
    <t>LzMxLzIwMTQBAAAAGVcEAAIAAAAFNi41MTYBCAAAAAUAAAABMQEAAAAKMTc4MjQ0NjM1NQMAAAACNzkCAAAABDQxNzgEAAAAATAHAAAACjEyLzMxLzIwMTQIAAAACTMvMzEvMjAxNAkAAAABMKVgGcDet9sICpVP2d632wg2Q0lRLlNIU0U6NjAwMDMxLklRX0VCSVREQV9NQVJHSU4uMTAwMC4xMi8zMS8yMDE5Li4uVVNEAQAAAC9QWQACAAAABzE5LjQ1MDgBCAAAAAUAAAABMQEAAAAKMjA4NjkxNzg3NgMAAAACMzICAAAABDQwNDcEAAAAATAHAAAACjEyLzMxLzIwMTkIAAAACjEyLzMxLzIwMTkJAAAAATClYBnA3rfbCAWCC9Het9sINENJUS5OWVNFOkNOSEkuSVFfRUJJVERBX01BUkdJTi4xMDAwLjEyLzMxLzIwMTguLi5VU0QBAAAATmIZBgIAAAAGOS45NDA3AQgAAAAFAAAAATEBAAAACjIwODI5NDcxNzADAAAAAzE2MAIAAAAENDA0NwQAAAABMAcAAAAKMTIvMzEvMjAxOAgAAAAKMTIvMzEvMjAxOAkAAAABMKVgGcDet9sICpVP2d632wguQ0lRLlNIU0U6NjAwMDMxLklRX0VCSVRfTUFSR0lOLjEwMDAuMTIvMzAvMjAxNgEAAAAvUFkAAgAAAAY0Ljg4MTkBCAAAAAUAAAABMQEAAAAKMTgzODUzOTA1NwMAAAACMzICAAAABDQwNTMEAAAAATAHAAAACjEyLzMwLzIwMTYIAAAACjEyLzMxLzIwMTUJAAAAATClYBnA3rfbCCK4oc7et9sIKkNJUS5OWVNFOkRFLklRX0VCSVRfTUFSR0lOLjEwMDAuMTIvMzEvMjAy</t>
  </si>
  <si>
    <t>MQEAAACADwQAAgAAAAcxOC4wMDI0AQgAAAAFAAAAATEBAAAACy0yMDY1Mzg4NDk1AwAAAAMxNjACAAAABDQwNTMEAAAAATAHAAAACjEyLzMxLzIwMjEIAAAACjEwLzMxLzIwMjEJAAAAATClYBnA3rfbCC8fUtnet9sILENJUS5OWVNFOkNOSEkuSVFfRUJJVF9NQVJHSU4uMTAwMC4xMi8zMS8yMDE4AQAAAE5iGQYCAAAABjYuMzAxNwEIAAAABQAAAAExAQAAAAoyMDgyOTQ3MTcwAwAAAAMxNjACAAAABDQwNTMEAAAAATAHAAAACjEyLzMxLzIwMTgIAAAACjEyLzMxLzIwMTgJAAAAATClYBnA3rfbCAqVT9net9sILENJUS5TSFNFOjYwMDAzMS5JUV9OSV9NQVJHSU4uMTAwMC4xMi8zMS8yMDE4AQAAAC9QWQACAAAABzEwLjk1NjgBCAAAAAUAAAABMQEAAAAKMjAzMDEyODIyOQMAAAACMzICAAAABDQwOTQEAAAAATAHAAAACjEyLzMxLzIwMTgIAAAACjEyLzMxLzIwMTgJAAAAATClYBnA3rfbCN/gfMret9sIKUNJUS5UU0U6NjMyNi5JUV9OSV9NQVJHSU4uMTAwMC4xMi8zMS8yMDE3AQAAABlXBAACAAAABDcuNzkBCAAAAAUAAAABMQEAAAAKMTg3OTU5NDk0MgMAAAACNzkCAAAABDQwOTQEAAAAATAHAAAACjEyLzMxLzIwMTcIAAAACjEyLzMxLzIwMTcJAAAAATClYBnA3rfbCAqVT9net9sIMkNJUS5UU0U6NjUwMS5JUV9HUk9TU19NQVJHSU4uMTAwMC4xMi8zMS8yMDE1Li4uVVNEAQAAAJstAgACAAAABzI2LjM2</t>
  </si>
  <si>
    <t>MDIBCAAAAAUAAAABMQEAAAAKMTc0NTI3MDY3MgMAAAACNzkCAAAABDQwNzQEAAAAATAHAAAACjEyLzMxLzIwMTUIAAAACTMvMzEvMjAxNQkAAAABMKVgGcDet9sIGctexd632wgyQ0lRLk5ZU0U6Q0FULklRX0dST1NTX01BUkdJTi4xMDAwLjEyLzMxLzIwMTkuLi5VU0QBAAAAMvUDAAIAAAAGMjYuODgxAQgAAAAFAAAAATEBAAAACy0yMTEyMTU3MTU5AwAAAAMxNjACAAAABDQwNzQEAAAAATAHAAAACjEyLzMxLzIwMTkIAAAACjEyLzMxLzIwMTkJAAAAATClYBnA3rfbCLSYDsbet9sIMkNJUS5OU0VJOk0mTS5JUV9HUk9TU19NQVJHSU4uMTAwMC4xMi8zMS8yMDE0Li4uVVNEAQAAAEJnDQACAAAABzM0LjQ0OTEBCAAAAAUAAAABMQEAAAAKMTc0NTcyODc2MwMAAAACNzICAAAABDQwNzQEAAAAATAHAAAACjEyLzMxLzIwMTQIAAAACTMvMzEvMjAxNAkAAAABMKVgGcDet9sICpVP2d632wgqQ0lRLk5ZU0U6QUdDTy5JUV9OSV9NQVJHSU4uMTAwMC4xMi8zMS8yMDE3AQAAAE/YBAACAAAABTIuMjQ0AQgAAAAFAAAAATEBAAAACjIwMTgzNjA4MjMDAAAAAzE2MAIAAAAENDA5NAQAAAABMAcAAAAKMTIvMzEvMjAxNwgAAAAKMTIvMzEvMjAxNwkAAAABMKVgGcDet9sICpVP2d632wgzQ0lRLk5ZU0U6Q05ISS5JUV9HUk9TU19NQVJHSU4uMTAwMC4xMi8zMS8yMDIyLi4uVVNEAQAAAE5iGQYCAAAABzIyLjI3OTMBCAAA</t>
  </si>
  <si>
    <t>AAUAAAABMQEAAAALLTIwNTkwMTI1ODQDAAAAAzE2MAIAAAAENDA3NAQAAAABMAcAAAAKMTIvMzEvMjAyMggAAAAKMTIvMzEvMjAyMgkAAAABMKVgGcDet9sILx9S2d632wgzQ0lRLk5TRUk6TSZNLklRX0VCSVREQV9NQVJHSU4uMTAwMC4xMi8zMS8yMDE4Li4uVVNEAQAAAEJnDQACAAAABzEzLjkwMjkBCAAAAAUAAAABMQEAAAAKMTk3MDYzODExMAMAAAACNzICAAAABDQwNDcEAAAAATAHAAAACjEyLzMxLzIwMTgIAAAACTMvMzEvMjAxOAkAAAABMKVgGcDet9sICpVP2d632wgrQ0lRLk5ZU0U6VEVYLklRX0VCSVRfTUFSR0lOLjEwMDAuMTIvMzEvMjAxNwEAAAAOswQAAgAAAAY2LjEzOTEBCAAAAAUAAAABMQEAAAAKMjAxNDI3Njk1MgMAAAADMTYwAgAAAAQ0MDUzBAAAAAEwBwAAAAoxMi8zMS8yMDE3CAAAAAoxMi8zMS8yMDE3CQAAAAEwpWAZwN632wgiuKHO3rfbCCtDSVEuTlNFSTpNJk0uSVFfRUJJVF9NQVJHSU4uMTAwMC4xMi8zMS8yMDE3AQAAAEJnDQACAAAABzEwLjMyNjUBCAAAAAUAAAABMQEAAAAKMTg5NTQ2NTQzNwMAAAACNzICAAAABDQwNTMEAAAAATAHAAAACjEyLzMxLzIwMTcIAAAACTMvMzEvMjAxNwkAAAABMKVgGcDet9sICpVP2d632wgoQ0lRLk5ZU0U6REUuSVFfTklfTUFSR0lOLjEwMDAuMTIvMzEvMjAyMgEAAACADwQAAgAAAAcxMy41NjY1AQgAAAAFAAAAATEBAAAACy0yMDY1Mzg4</t>
  </si>
  <si>
    <t>NDY4AwAAAAMxNjACAAAABDQwOTQEAAAAATAHAAAACjEyLzMxLzIwMjIIAAAACjEwLzMwLzIwMjIJAAAAATClYBnA3rfbCC8fUtnet9sIKUNJUS5OWVNFOlRFWC5JUV9OSV9NQVJHSU4uMTAwMC4xMi8zMS8yMDIwAQAAAA6zBAACAAAABy0wLjM0NDUBCAAAAAUAAAABMQEAAAALLTIwNjE2MzE2MzgDAAAAAzE2MAIAAAAENDA5NAQAAAABMAcAAAAKMTIvMzEvMjAyMAgAAAAKMTIvMzEvMjAyMAkAAAABMKVgGcDet9sI3+B8yt632wgpQ0lRLk5TRUk6TSZNLklRX05JX01BUkdJTi4xMDAwLjEyLzMxLzIwMjIBAAAAQmcNAAIAAAAGNy4yMzIyAQgAAAAFAAAAATEBAAAACy0yMDM5MDgyNzg0AwAAAAI3MgIAAAAENDA5NAQAAAABMAcAAAAKMTIvMzEvMjAyMggAAAAJMy8zMS8yMDIyCQAAAAEwpWAZwN632wgvH1LZ3rfbCCpDSVEuTllTRTpBR0NPLklRX05JX01BUkdJTi4xMDAwLjEyLzMxLzIwMTUBAAAAT9gEAAIAAAAGMy41Njc1AQgAAAAFAAAAATEBAAAACjE4NzY3MzQ1NDADAAAAAzE2MAIAAAAENDA5NAQAAAABMAcAAAAKMTIvMzEvMjAxNQgAAAAKMTIvMzEvMjAxNQkAAAABMKVgGcDet9sICpVP2d632wgzQ0lRLk5ZU0U6Q05ISS5JUV9HUk9TU19NQVJHSU4uMTAwMC4xMi8zMS8yMDIxLi4uVVNEAQAAAE5iGQYCAAAABzIxLjMxNzEBCAAAAAUAAAABMQEAAAALLTIwNTkwMTI2MDMDAAAAAzE2MAIAAAAENDA3</t>
  </si>
  <si>
    <t>NAQAAAABMAcAAAAKMTIvMzEvMjAyMQgAAAAKMTIvMzEvMjAyMQkAAAABMKVgGcDet9sIXfdR2d632wgyQ0lRLk5BU0RBUUNNOlRPUk8uSVFfUkVUVVJOX0VRVUlUWS4xMDAwLjEyLzMxLzIwMTQBAAAAeXs2bAMAAAAAAKVgGcDet9sICpVP2d632wgyQ0lRLk5BU0RBUUNNOlRPUk8uSVFfUkVUVVJOX0FTU0VUUy4xMDAwLjEyLzMxLzIwMTMBAAAAeXs2bAMAAAAAAKVgGcDet9sICpVP2d632wgzQ0lRLk5TRUk6TSZNLklRX0VCSVREQV9NQVJHSU4uMTAwMC4xMi8zMS8yMDE3Li4uVVNEAQAAAEJnDQACAAAABzEyLjg4MzcBCAAAAAUAAAABMQEAAAAKMTg5NTQ2NTQzNwMAAAACNzICAAAABDQwNDcEAAAAATAHAAAACjEyLzMxLzIwMTcIAAAACTMvMzEvMjAxNwkAAAABMKVgGcDet9sICpVP2d632wgqQ0lRLk5ZU0U6REUuSVFfRUJJVF9NQVJHSU4uMTAwMC4xMi8zMS8yMDE5AQAAAIAPBAACAAAABzEwLjk4NTYBCAAAAAUAAAABMQEAAAALLTIxMTY3ODUwNjQDAAAAAzE2MAIAAAAENDA1MwQAAAABMAcAAAAKMTIvMzEvMjAxOQgAAAAJMTEvMy8yMDE5CQAAAAEwpWAZwN632wgKlU/Z3rfbCCtDSVEuTllTRTpURVguSVFfRUJJVF9NQVJHSU4uMTAwMC4xMi8zMC8yMDE2AQAAAA6zBAACAAAABjYuNDczOQEIAAAABQAAAAExAQAAAAoxODc0ODMyNjYzAwAAAAMxNjACAAAABDQwNTMEAAAAATAHAAAACjEyLzMwLzIw</t>
  </si>
  <si>
    <t>MTYIAAAACjEyLzMxLzIwMTUJAAAAATClYBnA3rfbCCK4oc7et9sIK0NJUS5OU0VJOk0mTS5JUV9FQklUX01BUkdJTi4xMDAwLjEyLzMwLzIwMTYBAAAAQmcNAAIAAAAHMTAuNTk3NwEIAAAABQAAAAExAQAAAAoxODQ5MTgyMjYyAwAAAAI3MgIAAAAENDA1MwQAAAABMAcAAAAKMTIvMzAvMjAxNggAAAAJMy8zMS8yMDE2CQAAAAEwpWAZwN632wgKlU/Z3rfbCChDSVEuTllTRTpERS5JUV9OSV9NQVJHSU4uMTAwMC4xMi8zMS8yMDIwAQAAAIAPBAACAAAABjcuNzQ2MgEIAAAABQAAAAExAQAAAAstMjExNjc4NTA2OQMAAAADMTYwAgAAAAQ0MDk0BAAAAAEwBwAAAAoxMi8zMS8yMDIwCAAAAAkxMS8xLzIwMjAJAAAAATClYBnA3rfbCAqVT9net9sIKUNJUS5OWVNFOlRFWC5JUV9OSV9NQVJHSU4uMTAwMC4xMi8zMS8yMDE5AQAAAA6zBAACAAAABjEuMjQ5NgEIAAAABQAAAAExAQAAAAstMjExMjYxMzI0NQMAAAADMTYwAgAAAAQ0MDk0BAAAAAEwBwAAAAoxMi8zMS8yMDE5CAAAAAoxMi8zMS8yMDE5CQAAAAEwpWAZwN632wjf4HzK3rfbCClDSVEuTlNFSTpNJk0uSVFfTklfTUFSR0lOLjEwMDAuMTIvMzEvMjAyMQEAAABCZw0AAgAAAAYyLjQxMjcBCAAAAAUAAAABMQEAAAALLTIwODk3NDQwMjADAAAAAjcyAgAAAAQ0MDk0BAAAAAEwBwAAAAoxMi8zMS8yMDIxCAAAAAkzLzMxLzIwMjEJAAAAATClYBnA3rfbCF33</t>
  </si>
  <si>
    <t>Udnet9sIM0NJUS5OWVNFOkNOSEkuSVFfR1JPU1NfTUFSR0lOLjEwMDAuMTIvMzEvMjAyMC4uLlVTRAEAAABOYhkGAgAAAAcyMS4yNTk4AQgAAAAFAAAAATEBAAAACy0yMDU5MDEyNTM2AwAAAAMxNjACAAAABDQwNzQEAAAAATAHAAAACjEyLzMxLzIwMjAIAAAACjEyLzMxLzIwMjAJAAAAATClYBnA3rfbCAqVT9net9sIN0NJUS5OQVNEQVFDTTpUT1JPLklRX0dST1NTX01BUkdJTi4xMDAwLjEyLzMxLzIwMjIuLi5VU0QBAAAAeXs2bAIAAAAHNTQuNjk5NAEIAAAABQAAAAExAQAAAAstMjAzMzM0NjkwMAMAAAADMTYwAgAAAAQ0MDc0BAAAAAEwBwAAAAoxMi8zMS8yMDIyCAAAAAoxMi8zMS8yMDIyCQAAAAEwpWAZwN632wgvH1LZ3rfbCDNDSVEuTllTRTpBR0NPLklRX0dST1NTX01BUkdJTi4xMDAwLjEyLzMxLzIwMjIuLi5VU0QBAAAAT9gEAAIAAAAGMjMuNzIzAQgAAAAFAAAAATEBAAAACy0yMDU5MDEyNjA3AwAAAAMxNjACAAAABDQwNzQEAAAAATAHAAAACjEyLzMxLzIwMjIIAAAACjEyLzMxLzIwMjIJAAAAATClYBnA3rfbCC8fUtnet9sIMkNJUS5OQVNEQVFDTTpUT1JPLklRX1JFVFVSTl9FUVVJVFkuMTAwMC4xMi8zMS8yMDEzAQAAAHl7NmwDAAAAAAClYBnA3rfbCAqVT9net9sILUNJUS5OU0VJOk0mTS5JUV9SRVRVUk5fQVNTRVRTLjEwMDAuMTIvMzEvMjAxOAEAAABCZw0AAgAAAAY1LjE4MzgBCAAA</t>
  </si>
  <si>
    <t>AAUAAAABMQEAAAAKMTk3MDYzODExMAMAAAACNzICAAAABDQxNzgEAAAAATAHAAAACjEyLzMxLzIwMTgIAAAACTMvMzEvMjAxOAkAAAABMKVgGcDet9sICpVP2d632wgyQ0lRLk5ZU0U6REUuSVFfRUJJVERBX01BUkdJTi4xMDAwLjEyLzMxLzIwMjEuLi5VU0QBAAAAgA8EAAIAAAAHMjAuMTUzMgEIAAAABQAAAAExAQAAAAstMjA2NTM4ODQ5NQMAAAADMTYwAgAAAAQ0MDQ3BAAAAAEwBwAAAAoxMi8zMS8yMDIxCAAAAAoxMC8zMS8yMDIxCQAAAAEwpWAZwN632whd91HZ3rfbCDNDSVEuTllTRTpURVguSVFfRUJJVERBX01BUkdJTi4xMDAwLjEyLzMxLzIwMTcuLi5VU0QBAAAADrMEAAIAAAAFNy44OTIBCAAAAAUAAAABMQEAAAAKMjAxNDI3Njk1MgMAAAADMTYwAgAAAAQ0MDQ3BAAAAAEwBwAAAAoxMi8zMS8yMDE3CAAAAAoxMi8zMS8yMDE3CQAAAAEwpWAZwN632wisHwnR3rfbCDNDSVEuTlNFSTpNJk0uSVFfRUJJVERBX01BUkdJTi4xMDAwLjEyLzMwLzIwMTYuLi5VU0QBAAAAQmcNAAIAAAAGMTMuMjE1AQgAAAAFAAAAATEBAAAACjE4NDkxODIyNjIDAAAAAjcyAgAAAAQ0MDQ3BAAAAAEwBwAAAAoxMi8zMC8yMDE2CAAAAAkzLzMxLzIwMTYJAAAAATClYBnA3rfbCAqVT9net9sIKkNJUS5OWVNFOkRFLklRX0VCSVRfTUFSR0lOLjEwMDAuMTIvMzEvMjAxOAEAAACADwQAAgAAAAcxMS4xNDQ3AQgAAAAFAAAA</t>
  </si>
  <si>
    <t>ATEBAAAACjIwNzUyNDcxMTkDAAAAAzE2MAIAAAAENDA1MwQAAAABMAcAAAAKMTIvMzEvMjAxOAgAAAAKMTAvMjgvMjAxOAkAAAABMKVgGcDet9sICpVP2d632wgrQ0lRLk5ZU0U6VEVYLklRX0VCSVRfTUFSR0lOLjEwMDAuMTIvMzEvMjAxNQEAAAAOswQAAgAAAAY2LjQ3MzkBCAAAAAUAAAABMQEAAAAKMTg3NDgzMjY2MwMAAAADMTYwAgAAAAQ0MDUzBAAAAAEwBwAAAAoxMi8zMS8yMDE1CAAAAAoxMi8zMS8yMDE1CQAAAAEwpWAZwN632wgiuKHO3rfbCCtDSVEuTlNFSTpNJk0uSVFfRUJJVF9NQVJHSU4uMTAwMC4xMi8zMS8yMDE1AQAAAEJnDQACAAAABjkuOTc2NQEIAAAABQAAAAExAQAAAAoxNzk5Mjk2NTcwAwAAAAI3MgIAAAAENDA1MwQAAAABMAcAAAAKMTIvMzEvMjAxNQgAAAAJMy8zMS8yMDE1CQAAAAEwpWAZwN632wgKlU/Z3rfbCChDSVEuTllTRTpERS5JUV9OSV9NQVJHSU4uMTAwMC4xMi8zMS8yMDE5AQAAAIAPBAACAAAABjguMjkxNAEIAAAABQAAAAExAQAAAAstMjExNjc4NTA2NAMAAAADMTYwAgAAAAQ0MDk0BAAAAAEwBwAAAAoxMi8zMS8yMDE5CAAAAAkxMS8zLzIwMTkJAAAAATClYBnA3rfbCAqVT9net9sIKUNJUS5OWVNFOlRFWC5JUV9OSV9NQVJHSU4uMTAwMC4xMi8zMS8yMDE4AQAAAA6zBAACAAAABTIuNTE3AQgAAAAFAAAAATEBAAAACjIwNzk5NjUxMjUDAAAAAzE2MAIAAAAENDA5</t>
  </si>
  <si>
    <t>NAQAAAABMAcAAAAKMTIvMzEvMjAxOAgAAAAKMTIvMzEvMjAxOAkAAAABMKVgGcDet9sI3+B8yt632wgpQ0lRLk5TRUk6TSZNLklRX05JX01BUkdJTi4xMDAwLjEyLzMxLzIwMjABAAAAQmcNAAIAAAAGMC4xNjY3AQgAAAAFAAAAATEBAAAACy0yMTQzODIzMTc1AwAAAAI3MgIAAAAENDA5NAQAAAABMAcAAAAKMTIvMzEvMjAyMAgAAAAJMy8zMS8yMDIwCQAAAAEwpWAZwN632wgKlU/Z3rfbCDNDSVEuTllTRTpDTkhJLklRX0dST1NTX01BUkdJTi4xMDAwLjEyLzMxLzIwMTkuLi5VU0QBAAAATmIZBgIAAAAHMjAuMTIxNwEIAAAABQAAAAExAQAAAAstMjEwOTc4NTgzMgMAAAADMTYwAgAAAAQ0MDc0BAAAAAEwBwAAAAoxMi8zMS8yMDE5CAAAAAoxMi8zMS8yMDE5CQAAAAEwpWAZwN632wgKlU/Z3rfbCDdDSVEuTkFTREFRQ006VE9STy5JUV9HUk9TU19NQVJHSU4uMTAwMC4xMi8zMS8yMDIxLi4uVVNEAQAAAHl7NmwCAAAABzIwLjQ3MDEBCAAAAAUAAAABMQEAAAALLTIwMzMzNDY4MzkDAAAAAzE2MAIAAAAENDA3NAQAAAABMAcAAAAKMTIvMzEvMjAyMQgAAAAKMTIvMzEvMjAyMQkAAAABMKVgGcDet9sIXfdR2d632wgzQ0lRLk5ZU0U6QUdDTy5JUV9HUk9TU19NQVJHSU4uMTAwMC4xMi8zMS8yMDIxLi4uVVNEAQAAAE/YBAACAAAABzIzLjA5NDEBCAAAAAUAAAABMQEAAAALLTIwNTkwMTI1NDUDAAAAAzE2MAIA</t>
  </si>
  <si>
    <t>AAAENDA3NAQAAAABMAcAAAAKMTIvMzEvMjAyMQgAAAAKMTIvMzEvMjAyMQkAAAABMKVgGcDet9sIXfdR2d632wgpQ0lRLlRTRTo2NTAxLklRX05JX01BUkdJTi4xMDAwLjEyLzMxLzIwMjEBAAAAmy0CAAIAAAAGNS43NDYzAQgAAAAFAAAAATEBAAAACy0yMDg4ODIxNjQ5AwAAAAI3OQIAAAAENDA5NAQAAAABMAcAAAAKMTIvMzEvMjAyMQgAAAAJMy8zMS8yMDIxCQAAAAEwpWAZwN632wjf4HzK3rfbCClDSVEuVFNFOjYzMjYuSVFfTklfTUFSR0lOLjEwMDAuMTIvMzEvMjAyMQEAAAAZVwQAAgAAAAY3Ljk5NTIBCAAAAAUAAAABMQEAAAALLTIxMDc3MTQwMTQDAAAAAjc5AgAAAAQ0MDk0BAAAAAEwBwAAAAoxMi8zMS8yMDIxCAAAAAoxMi8zMS8yMDIxCQAAAAEwpWAZwN632whd91HZ3rfbCDJDSVEuTlNFSTpNJk0uSVFfR1JPU1NfTUFSR0lOLjEwMDAuMTIvMzEvMjAyMS4uLlVTRAEAAABCZw0AAgAAAAc0OC4yNzY0AQgAAAAFAAAAATEBAAAACy0yMDg5NzQ0MDIwAwAAAAI3MgIAAAAENDA3NAQAAAABMAcAAAAKMTIvMzEvMjAyMQgAAAAJMy8zMS8yMDIxCQAAAAEwpWAZwN632whd91HZ3rfbCC1DSVEuTllTRTpDQVQuSVFfUkVUVVJOX0VRVUlUWS4xMDAwLjEyLzMxLzIwMjABAAAAMvUDAAIAAAAHMjAuMDE1MwEIAAAABQAAAAExAQAAAAstMjA2MDg4MTkzNgMAAAADMTYwAgAAAAQ0MTI4BAAAAAEwBwAAAAox</t>
  </si>
  <si>
    <t>Mi8zMS8yMDIwCAAAAAoxMi8zMS8yMDIwCQAAAAEwpWAZwN632wgfKjLX3rfbCCxDSVEuTllTRTpERS5JUV9SRVRVUk5fQVNTRVRTLjEwMDAuMTIvMzAvMjAxNgEAAACADwQAAgAAAAYyLjUzOTcBCAAAAAUAAAABMQEAAAAKMTkzNjAwNDk3OAMAAAADMTYwAgAAAAQ0MTc4BAAAAAEwBwAAAAoxMi8zMC8yMDE2CAAAAAoxMC8zMC8yMDE2CQAAAAEwpWAZwN632wgKlU/Z3rfbCC1DSVEuTllTRTpDQVQuSVFfUkVUVVJOX0FTU0VUUy4xMDAwLjEyLzMxLzIwMTQBAAAAMvUDAAIAAAAFMi43NzYBCAAAAAUAAAABMQEAAAAKMTgyNzg2OTE2NQMAAAADMTYwAgAAAAQ0MTc4BAAAAAEwBwAAAAoxMi8zMS8yMDE0CAAAAAoxMi8zMS8yMDE0CQAAAAEwpWAZwN632whfklnU3rfbCC1DSVEuVFNFOjYzMjYuSVFfUkVUVVJOX0FTU0VUUy4xMDAwLjEyLzMxLzIwMTcBAAAAGVcEAAIAAAAGNC41MjEzAQgAAAAFAAAAATEBAAAACjE4Nzk1OTQ5NDIDAAAAAjc5AgAAAAQ0MTc4BAAAAAEwBwAAAAoxMi8zMS8yMDE3CAAAAAoxMi8zMS8yMDE3CQAAAAEwpWAZwN632wgKlU/Z3rfbCDNDSVEuVFNFOjYzMjYuSVFfRUJJVERBX01BUkdJTi4xMDAwLjEyLzMxLzIwMTUuLi5VU0QBAAAAGVcEAAIAAAAHMTUuOTQ4MgEIAAAABQAAAAExAQAAAAoxODc5NTk0OTQ4AwAAAAI3OQIAAAAENDA0NwQAAAABMAcAAAAKMTIvMzEvMjAxNQgAAAAK</t>
  </si>
  <si>
    <t>MTIvMzEvMjAxNQkAAAABMKVgGcDet9sICpVP2d632wgrQ0lRLlRTRTo2NTAxLklRX0VCSVRfTUFSR0lOLjEwMDAuMTIvMzEvMjAxOAEAAACbLQIAAgAAAAY3LjYyNzkBCAAAAAUAAAABMQEAAAAKMTk2OTkwMzI5MQMAAAACNzkCAAAABDQwNTMEAAAAATAHAAAACjEyLzMxLzIwMTgIAAAACTMvMzEvMjAxOAkAAAABMKVgGcDet9sIFRukzt632wgrQ0lRLlRTRTo2MzI2LklRX0VCSVRfTUFSR0lOLjEwMDAuMTIvMzEvMjAxNQEAAAAZVwQAAgAAAAcxMy40OTc2AQgAAAAFAAAAATEBAAAACjE4Nzk1OTQ5NDgDAAAAAjc5AgAAAAQ0MDUzBAAAAAEwBwAAAAoxMi8zMS8yMDE1CAAAAAoxMi8zMS8yMDE1CQAAAAEwpWAZwN632wgKlU/Z3rfbCClDSVEuVFNFOjY1MDEuSVFfTklfTUFSR0lOLjEwMDAuMTIvMzEvMjAyMAEAAACbLQIAAgAAAAYwLjk5OTEBCAAAAAUAAAABMQEAAAALLTIxMjA1NTc0ODYDAAAAAjc5AgAAAAQ0MDk0BAAAAAEwBwAAAAoxMi8zMS8yMDIwCAAAAAkzLzMxLzIwMjAJAAAAATClYBnA3rfbCN/gfMret9sIKUNJUS5OWVNFOkNBVC5JUV9OSV9NQVJHSU4uMTAwMC4xMi8zMS8yMDE0AQAAADL1AwACAAAABjQuNDQzMwEIAAAABQAAAAExAQAAAAoxODI3ODY5MTY1AwAAAAMxNjACAAAABDQwOTQEAAAAATAHAAAACjEyLzMxLzIwMTQIAAAACjEyLzMxLzIwMTQJAAAAATClYBnA3rfbCIR+esret9sI</t>
  </si>
  <si>
    <t>KUNJUS5UU0U6NjMyNi5JUV9OSV9NQVJHSU4uMTAwMC4xMi8zMS8yMDIwAQAAABlXBAACAAAABjYuOTM1MQEIAAAABQAAAAExAQAAAAstMjEwNzcxNDAwOAMAAAACNzkCAAAABDQwOTQEAAAAATAHAAAACjEyLzMxLzIwMjAIAAAACjEyLzMxLzIwMjAJAAAAATClYBnA3rfbCAqVT9net9sIMkNJUS5OU0VJOk0mTS5JUV9HUk9TU19NQVJHSU4uMTAwMC4xMi8zMS8yMDIwLi4uVVNEAQAAAEJnDQACAAAABzQ4Ljk3ODcBCAAAAAUAAAABMQEAAAALLTIxNDM4MjMxNzUDAAAAAjcyAgAAAAQ0MDc0BAAAAAEwBwAAAAoxMi8zMS8yMDIwCAAAAAkzLzMxLzIwMjAJAAAAATClYBnA3rfbCAqVT9net9sILUNJUS5UU0U6NjMyNi5JUV9SRVRVUk5fRVFVSVRZLjEwMDAuMTIvMzEvMjAyMQEAAAAZVwQAAgAAAAcxMS4zNTU5AQgAAAAFAAAAATEBAAAACy0yMTA3NzE0MDE0AwAAAAI3OQIAAAAENDEyOAQAAAABMAcAAAAKMTIvMzEvMjAyMQgAAAAKMTIvMzEvMjAyMQkAAAABMKVgGcDet9sILx9S2d632wgtQ0lRLk5ZU0U6Q0FULklRX1JFVFVSTl9BU1NFVFMuMTAwMC4xMi8zMS8yMDEzAQAAADL1AwACAAAABTQuMTc3AQgAAAAFAAAAATEBAAAACjE3NzY0NDIxMDIDAAAAAzE2MAIAAAAENDE3OAQAAAABMAcAAAAKMTIvMzEvMjAxMwgAAAAKMTIvMzEvMjAxMwkAAAABMKVgGcDet9sIX5JZ1N632wgzQ0lRLlRTRTo2NTAxLklR</t>
  </si>
  <si>
    <t>X0VCSVREQV9NQVJHSU4uMTAwMC4xMi8zMS8yMDE1Li4uVVNEAQAAAJstAgACAAAABzEwLjU0NzkBCAAAAAUAAAABMQEAAAAKMTc0NTI3MDY3MgMAAAACNzkCAAAABDQwNDcEAAAAATAHAAAACjEyLzMxLzIwMTUIAAAACTMvMzEvMjAxNQkAAAABMKVgGcDet9sIUb0G0d632wgzQ0lRLlRTRTo2MzI2LklRX0VCSVREQV9NQVJHSU4uMTAwMC4xMi8zMS8yMDE0Li4uVVNEAQAAABlXBAACAAAABjE1Ljk3NAEIAAAABQAAAAExAQAAAAoxNzgyNDQ2MzU1AwAAAAI3OQIAAAAENDA0NwQAAAABMAcAAAAKMTIvMzEvMjAxNAgAAAAJMy8zMS8yMDE0CQAAAAEwpWAZwN632wgKlU/Z3rfbCCxDSVEuU0hTRTo2MDAwMzEuSVFfTklfTUFSR0lOLjEwMDAuMTIvMzEvMjAyMAEAAAAvUFkAAgAAAAcxNS40MjYyAQgAAAAFAAAAATEBAAAACy0yMTAyMDgxMDE3AwAAAAIzMgIAAAAENDA5NAQAAAABMAcAAAAKMTIvMzEvMjAyMAgAAAAKMTIvMzEvMjAyMAkAAAABMKVgGcDet9sI3+B8yt632wgpQ0lRLlRTRTo2MzI2LklRX05JX01BUkdJTi4xMDAwLjEyLzMxLzIwMTkBAAAAGVcEAAIAAAAGNy43NjM0AQgAAAAFAAAAATEBAAAACjIwODUyODgyMDEDAAAAAjc5AgAAAAQ0MDk0BAAAAAEwBwAAAAoxMi8zMS8yMDE5CAAAAAoxMi8zMS8yMDE5CQAAAAEwpWAZwN632wgKlU/Z3rfbCDJDSVEuTllTRTpDQVQuSVFfR1JPU1NfTUFSR0lO</t>
  </si>
  <si>
    <t>LjEwMDAuMTIvMzEvMjAyMS4uLlVTRAEAAAAy9QMAAgAAAAcyNS44NzU0AQgAAAAFAAAAATEBAAAACy0yMDYwODgxOTQxAwAAAAMxNjACAAAABDQwNzQEAAAAATAHAAAACjEyLzMxLzIwMjEIAAAACjEyLzMxLzIwMjEJAAAAATClYBnA3rfbCLSYDsbet9sILUNJUS5OWVNFOkNBVC5JUV9SRVRVUk5fRVFVSVRZLjEwMDAuMTIvMzEvMjAxOAEAAAAy9QMAAgAAAAc0NC4xNTcxAQgAAAAFAAAAATEBAAAACjIwODA2NDgxNDMDAAAAAzE2MAIAAAAENDEyOAQAAAABMAcAAAAKMTIvMzEvMjAxOAgAAAAKMTIvMzEvMjAxOAkAAAABMKVgGcDet9sIHyoy19632wgzQ0lRLlRTRTo2NTAxLklRX0VCSVREQV9NQVJHSU4uMTAwMC4xMi8zMS8yMDE0Li4uVVNEAQAAAJstAgACAAAABzEwLjEyMTMBCAAAAAUAAAABMQEAAAAKMTc0NTI3MDU0NAMAAAACNzkCAAAABDQwNDcEAAAAATAHAAAACjEyLzMxLzIwMTQIAAAACTMvMzEvMjAxNAkAAAABMKVgGcDet9sIUb0G0d632wgqQ0lRLk5ZU0U6REUuSVFfRUJJVF9NQVJHSU4uMTAwMC4xMi8zMS8yMDIyAQAAAIAPBAACAAAABzE4Ljc0NTEBCAAAAAUAAAABMQEAAAALLTIwNjUzODg0NjgDAAAAAzE2MAIAAAAENDA1MwQAAAABMAcAAAAKMTIvMzEvMjAyMggAAAAKMTAvMzAvMjAyMgkAAAABMKVgGcDet9sILx9S2d632wgyQ0lRLk5ZU0U6Q0FULklRX0dST1NTX01BUkdJTi4xMDAw</t>
  </si>
  <si>
    <t>LjEyLzMxLzIwMjAuLi5VU0QBAAAAMvUDAAIAAAAHMjQuMjU3NAEIAAAABQAAAAExAQAAAAstMjA2MDg4MTkzNgMAAAADMTYwAgAAAAQ0MDc0BAAAAAEwBwAAAAoxMi8zMS8yMDIwCAAAAAoxMi8zMS8yMDIwCQAAAAEwpWAZwN632wi0mA7G3rfbCC1DSVEuVFNFOjY1MDEuSVFfUkVUVVJOX0VRVUlUWS4xMDAwLjEyLzMxLzIwMjEBAAAAmy0CAAIAAAAHMTEuOTAxMwEIAAAABQAAAAExAQAAAAstMjA4ODgyMTY0OQMAAAACNzkCAAAABDQxMjgEAAAAATAHAAAACjEyLzMxLzIwMjEIAAAACTMvMzEvMjAyMQkAAAABMKVgGcDet9sIHyoy19632wgtQ0lRLlRTRTo2MzI2LklRX1JFVFVSTl9FUVVJVFkuMTAwMC4xMi8zMS8yMDE0AQAAABlXBAACAAAABzE1LjQ4MTYBCAAAAAUAAAABMQEAAAAKMTc4MjQ0NjM1NQMAAAACNzkCAAAABDQxMjgEAAAAATAHAAAACjEyLzMxLzIwMTQIAAAACTMvMzEvMjAxNAkAAAABMKVgGcDet9sICpVP2d632wgtQ0lRLlRTRTo2NTAxLklRX1JFVFVSTl9BU1NFVFMuMTAwMC4xMi8zMS8yMDE0AQAAAJstAgACAAAABjMuNjE1OQEIAAAABQAAAAExAQAAAAoxNzQ1MjcwNTQ0AwAAAAI3OQIAAAAENDE3OAQAAAABMAcAAAAKMTIvMzEvMjAxNAgAAAAJMy8zMS8yMDE0CQAAAAEwpWAZwN632whfklnU3rfbCC1DSVEuVFNFOjYzMjYuSVFfUkVUVVJOX0FTU0VUUy4xMDAwLjEyLzMxLzIwMTMB</t>
  </si>
  <si>
    <t>AAAAGVcEAAIAAAAGNC41ODA0AQgAAAAFAAAAATEBAAAACjE3NDM1NjU3MjkDAAAAAjc5AgAAAAQ0MTc4BAAAAAEwBwAAAAoxMi8zMS8yMDEzCAAAAAkzLzMxLzIwMTMJAAAAATClYBnA3rfbCAqVT9net9sINkNJUS5TSFNFOjYwMDAzMS5JUV9FQklUREFfTUFSR0lOLjEwMDAuMTIvMzEvMjAxOC4uLlVTRAEAAAAvUFkAAgAAAAcxNi45ODg0AQgAAAAFAAAAATEBAAAACjIwMzAxMjgyMjkDAAAAAjMyAgAAAAQ0MDQ3BAAAAAEwBwAAAAoxMi8zMS8yMDE4CAAAAAoxMi8zMS8yMDE4CQAAAAEwpWAZwN632wisHwnR3rfbCDRDSVEuTllTRTpDTkhJLklRX0VCSVREQV9NQVJHSU4uMTAwMC4xMi8zMS8yMDE3Li4uVVNEAQAAAE5iGQYCAAAABjguOTU2MwEIAAAABQAAAAExAQAAAAoyMDE5MzMzODk4AwAAAAMxNjACAAAABDQwNDcEAAAAATAHAAAACjEyLzMxLzIwMTcIAAAACjEyLzMxLzIwMTcJAAAAATClYBnA3rfbCAqVT9net9sILkNJUS5TSFNFOjYwMDAzMS5JUV9FQklUX01BUkdJTi4xMDAwLjEyLzMxLzIwMTUBAAAAL1BZAAIAAAAGNC44ODE5AQgAAAAFAAAAATEBAAAACjE4Mzg1MzkwNTcDAAAAAjMyAgAAAAQ0MDUzBAAAAAEwBwAAAAoxMi8zMS8yMDE1CAAAAAoxMi8zMS8yMDE1CQAAAAEwpWAZwN632wgiuKHO3rfbCCxDSVEuU0hTRTo2MDAwMzEuSVFfTklfTUFSR0lOLjEwMDAuMTIvMzEvMjAxNwEAAAAv</t>
  </si>
  <si>
    <t>UFkAAgAAAAY1LjQ1NzgBCAAAAAUAAAABMQEAAAAKMTk1MjYyMDM4OQMAAAACMzICAAAABDQwOTQEAAAAATAHAAAACjEyLzMxLzIwMTcIAAAACjEyLzMxLzIwMTcJAAAAATClYBnA3rfbCIR+esret9sIMkNJUS5UU0U6NjUwMS5JUV9HUk9TU19NQVJHSU4uMTAwMC4xMi8zMS8yMDE0Li4uVVNEAQAAAJstAgACAAAABzI1Ljc4NzEBCAAAAAUAAAABMQEAAAAKMTc0NTI3MDU0NAMAAAACNzkCAAAABDQwNzQEAAAAATAHAAAACjEyLzMxLzIwMTQIAAAACTMvMzEvMjAxNAkAAAABMKVgGcDet9sIsQdexd632wgyQ0lRLk5ZU0U6Q0FULklRX0dST1NTX01BUkdJTi4xMDAwLjEyLzMxLzIwMTcuLi5VU0QBAAAAMvUDAAIAAAAHMjYuMDA4NQEIAAAABQAAAAExAQAAAAoyMDE1ODY5MjE3AwAAAAMxNjACAAAABDQwNzQEAAAAATAHAAAACjEyLzMxLzIwMTcIAAAACjEyLzMxLzIwMTcJAAAAATClYBnA3rfbCLSYDsbet9sIMkNJUS5OU0VJOk0mTS5JUV9HUk9TU19NQVJHSU4uMTAwMC4xMi8zMS8yMDEzLi4uVVNEAQAAAEJnDQACAAAABjMzLjg3MgEIAAAABQAAAAExAQAAAAoxNjkwMTAyMjc1AwAAAAI3MgIAAAAENDA3NAQAAAABMAcAAAAKMTIvMzEvMjAxMwgAAAAJMy8zMS8yMDEzCQAAAAEwpWAZwN632wgKlU/Z3rfbCC1DSVEuVFNFOjY1MDEuSVFfUkVUVVJOX0VRVUlUWS4xMDAwLjEyLzMwLzIwMTYBAAAAmy0CAAIA</t>
  </si>
  <si>
    <t>AAAGOC4zNTUyAQgAAAAFAAAAATEBAAAACjE3OTc1NTQ0NTEDAAAAAjc5AgAAAAQ0MTI4BAAAAAEwBwAAAAoxMi8zMC8yMDE2CAAAAAkzLzMxLzIwMTYJAAAAATClYBnA3rfbCB8qMtfet9sILUNJUS5UU0U6NjMyNi5JUV9SRVRVUk5fRVFVSVRZLjEwMDAuMTIvMzEvMjAxMwEAAAAZVwQAAgAAAAcxMS4xNzU2AQgAAAAFAAAAATEBAAAACjE3NDM1NjU3MjkDAAAAAjc5AgAAAAQ0MTI4BAAAAAEwBwAAAAoxMi8zMS8yMDEzCAAAAAkzLzMxLzIwMTMJAAAAATClYBnA3rfbCAqVT9net9sILUNJUS5UU0U6NjUwMS5JUV9SRVRVUk5fQVNTRVRTLjEwMDAuMTIvMzEvMjAxMwEAAACbLQIAAgAAAAYyLjc0MzYBCAAAAAUAAAABMQEAAAAKMTY4NTUyMTcyMgMAAAACNzkCAAAABDQxNzgEAAAAATAHAAAACjEyLzMxLzIwMTMIAAAACTMvMzEvMjAxMwkAAAABMKVgGcDet9sIX5JZ1N632wg2Q0lRLlNIU0U6NjAwMDMxLklRX0VCSVREQV9NQVJHSU4uMTAwMC4xMi8zMS8yMDE3Li4uVVNEAQAAAC9QWQACAAAABzE0Ljg1NTYBCAAAAAUAAAABMQEAAAAKMTk1MjYyMDM4OQMAAAACMzICAAAABDQwNDcEAAAAATAHAAAACjEyLzMxLzIwMTcIAAAACjEyLzMxLzIwMTcJAAAAATClYBnA3rfbCKwfCdHet9sIMkNJUS5OWVNFOkRFLklRX0VCSVREQV9NQVJHSU4uMTAwMC4xMi8zMS8yMDIwLi4uVVNEAQAAAIAPBAACAAAABjE1LjM0</t>
  </si>
  <si>
    <t>NgEIAAAABQAAAAExAQAAAAstMjExNjc4NTA2OQMAAAADMTYwAgAAAAQ0MDQ3BAAAAAEwBwAAAAoxMi8zMS8yMDIwCAAAAAkxMS8xLzIwMjAJAAAAATClYBnA3rfbCAqVT9net9sINENJUS5OWVNFOkNOSEkuSVFfRUJJVERBX01BUkdJTi4xMDAwLjEyLzMwLzIwMTYuLi5VU0QBAAAATmIZBgIAAAAGOC4yNTQ4AQgAAAAFAAAAATEBAAAACjE4Nzc2MDUwMjcDAAAAAzE2MAIAAAAENDA0NwQAAAABMAcAAAAKMTIvMzAvMjAxNggAAAAKMTIvMzEvMjAxNQkAAAABMKVgGcDet9sICpVP2d632wguQ0lRLlNIU0U6NjAwMDMxLklRX0VCSVRfTUFSR0lOLjEwMDAuMTIvMzEvMjAxNAEAAAAvUFkAAgAAAAU1LjEyNAEIAAAABQAAAAExAQAAAAoxNzg5MDA4MTM4AwAAAAIzMgIAAAAENDA1MwQAAAABMAcAAAAKMTIvMzEvMjAxNAgAAAAKMTIvMzEvMjAxNAkAAAABMKVgGcDet9sIxFWfzt632wgsQ0lRLk5ZU0U6Q05ISS5JUV9FQklUX01BUkdJTi4xMDAwLjEyLzMwLzIwMTYBAAAATmIZBgIAAAAGNC42NjE5AQgAAAAFAAAAATEBAAAACjE4Nzc2MDUwMjcDAAAAAzE2MAIAAAAENDA1MwQAAAABMAcAAAAKMTIvMzAvMjAxNggAAAAKMTIvMzEvMjAxNQkAAAABMKVgGcDet9sICpVP2d632wgsQ0lRLlNIU0U6NjAwMDMxLklRX05JX01BUkdJTi4xMDAwLjEyLzMwLzIwMTYBAAAAL1BZAAIAAAAGMC4wMjExAQgAAAAFAAAAATEB</t>
  </si>
  <si>
    <t>AAAACjE4Mzg1MzkwNTcDAAAAAjMyAgAAAAQ0MDk0BAAAAAEwBwAAAAoxMi8zMC8yMDE2CAAAAAoxMi8zMS8yMDE1CQAAAAEwpWAZwN632wiEfnrK3rfbCCpDSVEuTllTRTpDTkhJLklRX05JX01BUkdJTi4xMDAwLjEyLzMxLzIwMjIBAAAATmIZBgIAAAAGOC42MTUzAQgAAAAFAAAAATEBAAAACy0yMDU5MDEyNTg0AwAAAAMxNjACAAAABDQwOTQEAAAAATAHAAAACjEyLzMxLzIwMjIIAAAACjEyLzMxLzIwMjIJAAAAATClYBnA3rfbCC8fUtnet9sIMkNJUS5UU0U6NjUwMS5JUV9HUk9TU19NQVJHSU4uMTAwMC4xMi8zMS8yMDEzLi4uVVNEAQAAAJstAgACAAAABzI1LjQwNzEBCAAAAAUAAAABMQEAAAAKMTY4NTUyMTcyMgMAAAACNzkCAAAABDQwNzQEAAAAATAHAAAACjEyLzMxLzIwMTMIAAAACTMvMzEvMjAxMwkAAAABMKVgGcDet9sIsQdexd632wgyQ0lRLk5ZU0U6Q0FULklRX0dST1NTX01BUkdJTi4xMDAwLjEyLzMwLzIwMTYuLi5VU0QBAAAAMvUDAAIAAAAHMjMuNjQxMgEIAAAABQAAAAExAQAAAAoxODc0NTI0NDUzAwAAAAMxNjACAAAABDQwNzQEAAAAATAHAAAACjEyLzMwLzIwMTYIAAAACjEyLzMxLzIwMTUJAAAAATClYBnA3rfbCLSYDsbet9sILUNJUS5UU0U6NjUwMS5JUV9SRVRVUk5fRVFVSVRZLjEwMDAuMTIvMzEvMjAxNQEAAACbLQIAAgAAAAY5LjcyMjIBCAAAAAUAAAABMQEAAAAKMTc0NTI3</t>
  </si>
  <si>
    <t>MDY3MgMAAAACNzkCAAAABDQxMjgEAAAAATAHAAAACjEyLzMxLzIwMTUIAAAACTMvMzEvMjAxNQkAAAABMKVgGcDet9sIQ8ov19632wguQ0lRLk5ZU0U6Q05ISS5JUV9SRVRVUk5fQVNTRVRTLjEwMDAuMTIvMzEvMjAyMgEAAABOYhkGAgAAAAY0LjA3NjcBCAAAAAUAAAABMQEAAAALLTIwNTkwMTI1ODQDAAAAAzE2MAIAAAAENDE3OAQAAAABMAcAAAAKMTIvMzEvMjAyMggAAAAKMTIvMzEvMjAyMgkAAAABMKVgGcDet9sILx9S2d632wg2Q0lRLlNIU0U6NjAwMDMxLklRX0VCSVREQV9NQVJHSU4uMTAwMC4xMi8zMC8yMDE2Li4uVVNEAQAAAC9QWQACAAAABzEyLjk3MDEBCAAAAAUAAAABMQEAAAAKMTgzODUzOTA1NwMAAAACMzICAAAABDQwNDcEAAAAATAHAAAACjEyLzMwLzIwMTYIAAAACjEyLzMxLzIwMTUJAAAAATClYBnA3rfbCKwfCdHet9sIMkNJUS5OWVNFOkRFLklRX0VCSVREQV9NQVJHSU4uMTAwMC4xMi8zMS8yMDE5Li4uVVNEAQAAAIAPBAACAAAABjEzLjI0OQEIAAAABQAAAAExAQAAAAstMjExNjc4NTA2NAMAAAADMTYwAgAAAAQ0MDQ3BAAAAAEwBwAAAAoxMi8zMS8yMDE5CAAAAAkxMS8zLzIwMTkJAAAAATClYBnA3rfbCAqVT9net9sINENJUS5OWVNFOkNOSEkuSVFfRUJJVERBX01BUkdJTi4xMDAwLjEyLzMxLzIwMTUuLi5VU0QBAAAATmIZBgIAAAAGOC4yNTQ4AQgAAAAFAAAAATEBAAAACjE4</t>
  </si>
  <si>
    <t>Nzc2MDUwMjcDAAAAAzE2MAIAAAAENDA0NwQAAAABMAcAAAAKMTIvMzEvMjAxNQgAAAAKMTIvMzEvMjAxNQkAAAABMKVgGcDet9sICpVP2d632wgqQ0lRLk5ZU0U6REUuSVFfRUJJVF9NQVJHSU4uMTAwMC4xMi8zMS8yMDE3AQAAAIAPBAACAAAABjEwLjA2NQEIAAAABQAAAAExAQAAAAoxOTk2OTk4NzA2AwAAAAMxNjACAAAABDQwNTMEAAAAATAHAAAACjEyLzMxLzIwMTcIAAAACjEwLzI5LzIwMTcJAAAAATClYBnA3rfbCAqVT9net9sILENJUS5OWVNFOkNOSEkuSVFfRUJJVF9NQVJHSU4uMTAwMC4xMi8zMS8yMDE1AQAAAE5iGQYCAAAABjQuNjYxOQEIAAAABQAAAAExAQAAAAoxODc3NjA1MDI3AwAAAAMxNjACAAAABDQwNTMEAAAAATAHAAAACjEyLzMxLzIwMTUIAAAACjEyLzMxLzIwMTUJAAAAATClYBnA3rfbCAqVT9net9sIKkNJUS5OWVNFOkNOSEkuSVFfTklfTUFSR0lOLjEwMDAuMTIvMzEvMjAyMQEAAABOYhkGAgAAAAY4LjgzNzcBCAAAAAUAAAABMQEAAAALLTIwNTkwMTI2MDMDAAAAAzE2MAIAAAAENDA5NAQAAAABMAcAAAAKMTIvMzEvMjAyMQgAAAAKMTIvMzEvMjAyMQkAAAABMKVgGcDet9sIXfdR2d632wgyQ0lRLlRTRTo2MzI2LklRX0dST1NTX01BUkdJTi4xMDAwLjEyLzMxLzIwMjIuLi5VU0QBAAAAGVcEAAIAAAAHMjYuMDAxNgEIAAAABQAAAAExAQAAAAstMjA1NTYxNjQzNAMAAAACNzkC</t>
  </si>
  <si>
    <t>AAAABDQwNzQEAAAAATAHAAAACjEyLzMxLzIwMjIIAAAACjEyLzMxLzIwMjIJAAAAATClYBnA3rfbCC8fUtnet9sILUNJUS5UU0U6NjUwMS5JUV9SRVRVUk5fRVFVSVRZLjEwMDAuMTIvMzEvMjAxNAEAAACbLQIAAgAAAAYxNS4wOTUBCAAAAAUAAAABMQEAAAAKMTc0NTI3MDU0NAMAAAACNzkCAAAABDQxMjgEAAAAATAHAAAACjEyLzMxLzIwMTQIAAAACTMvMzEvMjAxNAkAAAABMKVgGcDet9sIQ8ov19632wgwQ0lRLlNIU0U6NjAwMDMxLklRX1JFVFVSTl9BU1NFVFMuMTAwMC4xMi8zMS8yMDE3AQAAAC9QWQACAAAABjMuOTQ1OAEIAAAABQAAAAExAQAAAAoxOTUyNjIwMzg5AwAAAAIzMgIAAAAENDE3OAQAAAABMAcAAAAKMTIvMzEvMjAxNwgAAAAKMTIvMzEvMjAxNwkAAAABMKVgGcDet9sI2vRb1N632wguQ0lRLk5ZU0U6QUdDTy5JUV9SRVRVUk5fQVNTRVRTLjEwMDAuMTIvMzEvMjAyMgEAAABP2AQAAgAAAAY4LjQyNzEBCAAAAAUAAAABMQEAAAALLTIwNTkwMTI2MDcDAAAAAzE2MAIAAAAENDE3OAQAAAABMAcAAAAKMTIvMzEvMjAyMggAAAAKMTIvMzEvMjAyMgkAAAABMKVgGcDet9sILx9S2d632wg2Q0lRLlNIU0U6NjAwMDMxLklRX0VCSVREQV9NQVJHSU4uMTAwMC4xMi8zMS8yMDE1Li4uVVNEAQAAAC9QWQACAAAABzEyLjk3MDEBCAAAAAUAAAABMQEAAAAKMTgzODUzOTA1NwMAAAACMzICAAAABDQw</t>
  </si>
  <si>
    <t>NDcEAAAAATAHAAAACjEyLzMxLzIwMTUIAAAACjEyLzMxLzIwMTUJAAAAATClYBnA3rfbCFG9BtHet9sIMkNJUS5OWVNFOkRFLklRX0VCSVREQV9NQVJHSU4uMTAwMC4xMi8zMS8yMDE4Li4uVVNEAQAAAIAPBAACAAAABzE1LjkxOTkBCAAAAAUAAAABMQEAAAAKMjA3NTI0NzExOQMAAAADMTYwAgAAAAQ0MDQ3BAAAAAEwBwAAAAoxMi8zMS8yMDE4CAAAAAoxMC8yOC8yMDE4CQAAAAEwpWAZwN632wgKlU/Z3rfbCDRDSVEuTllTRTpBR0NPLklRX0VCSVREQV9NQVJHSU4uMTAwMC4xMi8zMC8yMDE2Li4uVVNEAQAAAE/YBAACAAAABjguNjE3NQEIAAAABQAAAAExAQAAAAoxODc2NzM0NTQwAwAAAAMxNjACAAAABDQwNDcEAAAAATAHAAAACjEyLzMwLzIwMTYIAAAACjEyLzMxLzIwMTUJAAAAATClYBnA3rfbCAqVT9net9sILENJUS5OWVNFOkNOSEkuSVFfRUJJVF9NQVJHSU4uMTAwMC4xMi8zMS8yMDIwAQAAAE5iGQYCAAAABjMuMzU2MQEIAAAABQAAAAExAQAAAAstMjA1OTAxMjUzNgMAAAADMTYwAgAAAAQ0MDUzBAAAAAEwBwAAAAoxMi8zMS8yMDIwCAAAAAoxMi8zMS8yMDIwCQAAAAEwpWAZwN632wgKlU/Z3rfbCCxDSVEuTllTRTpBR0NPLklRX0VCSVRfTUFSR0lOLjEwMDAuMTIvMzEvMjAxNwEAAABP2AQAAgAAAAY0Ljk4ODgBCAAAAAUAAAABMQEAAAAKMjAxODM2MDgyMwMAAAADMTYwAgAAAAQ0MDUzBAAA</t>
  </si>
  <si>
    <t>AAEwBwAAAAoxMi8zMS8yMDE3CAAAAAoxMi8zMS8yMDE3CQAAAAEwpWAZwN632wgKlU/Z3rfbCDVDSVEuU0hTRTo2MDAwMzEuSVFfR1JPU1NfTUFSR0lOLjEwMDAuMTIvMzEvMjAyMi4uLlVTRAEAAAAvUFkAAgAAAAcyNC41OTA4AQgAAAAFAAAAATEBAAAACy0yMDUyNTU5NDc0AwAAAAIzMgIAAAAENDA3NAQAAAABMAcAAAAKMTIvMzEvMjAyMggAAAAKMTIvMzEvMjAyMgkAAAABMKVgGcDet9sItJgOxt632wgtQ0lRLlRTRTo2NTAxLklRX1JFVFVSTl9FUVVJVFkuMTAwMC4xMi8zMS8yMDEzAQAAAJstAgACAAAABjcuOTg2MgEIAAAABQAAAAExAQAAAAoxNjg1NTIxNzIyAwAAAAI3OQIAAAAENDEyOAQAAAABMAcAAAAKMTIvMzEvMjAxMwgAAAAJMy8zMS8yMDEzCQAAAAEwpWAZwN632whDyi/X3rfbCC5DSVEuTllTRTpBR0NPLklRX1JFVFVSTl9FUVVJVFkuMTAwMC4xMi8zMS8yMDIyAQAAAE/YBAACAAAABjIzLjg3OAEIAAAABQAAAAExAQAAAAstMjA1OTAxMjYwNwMAAAADMTYwAgAAAAQ0MTI4BAAAAAEwBwAAAAoxMi8zMS8yMDIyCAAAAAoxMi8zMS8yMDIyCQAAAAEwpWAZwN632wgvH1LZ3rfbCDBDSVEuU0hTRTo2MDAwMzEuSVFfUkVUVVJOX0FTU0VUUy4xMDAwLjEyLzMwLzIwMTYBAAAAL1BZAAIAAAAGMS4xNDAzAQgAAAAFAAAAATEBAAAACjE4Mzg1MzkwNTcDAAAAAjMyAgAAAAQ0MTc4BAAAAAEwBwAA</t>
  </si>
  <si>
    <t>AAoxMi8zMC8yMDE2CAAAAAoxMi8zMS8yMDE1CQAAAAEwpWAZwN632wja9FvU3rfbCCxDSVEuTllTRTpERS5JUV9SRVRVUk5fQVNTRVRTLjEwMDAuMTIvMzEvMjAxOQEAAACADwQAAgAAAAYzLjc2NDMBCAAAAAUAAAABMQEAAAALLTIxMTY3ODUwNjQDAAAAAzE2MAIAAAAENDE3OAQAAAABMAcAAAAKMTIvMzEvMjAxOQgAAAAJMTEvMy8yMDE5CQAAAAEwpWAZwN632wgKlU/Z3rfbCC5DSVEuTllTRTpBR0NPLklRX1JFVFVSTl9BU1NFVFMuMTAwMC4xMi8zMS8yMDIxAQAAAE/YBAACAAAABjcuMTg3NwEIAAAABQAAAAExAQAAAAstMjA1OTAxMjU0NQMAAAADMTYwAgAAAAQ0MTc4BAAAAAEwBwAAAAoxMi8zMS8yMDIxCAAAAAoxMi8zMS8yMDIxCQAAAAEwpWAZwN632wgvH1LZ3rfbCDZDSVEuU0hTRTo2MDAwMzEuSVFfRUJJVERBX01BUkdJTi4xMDAwLjEyLzMxLzIwMTQuLi5VU0QBAAAAL1BZAAIAAAAHMTAuODIyMgEIAAAABQAAAAExAQAAAAoxNzg5MDA4MTM4AwAAAAIzMgIAAAAENDA0NwQAAAABMAcAAAAKMTIvMzEvMjAxNAgAAAAKMTIvMzEvMjAxNAkAAAABMKVgGcDet9sIUb0G0d632wgyQ0lRLk5ZU0U6REUuSVFfRUJJVERBX01BUkdJTi4xMDAwLjEyLzMxLzIwMTcuLi5VU0QBAAAAgA8EAAIAAAAHMTUuNTYxOQEIAAAABQAAAAExAQAAAAoxOTk2OTk4NzA2AwAAAAMxNjACAAAABDQwNDcEAAAAATAHAAAA</t>
  </si>
  <si>
    <t>CjEyLzMxLzIwMTcIAAAACjEwLzI5LzIwMTcJAAAAATClYBnA3rfbCAqVT9net9sINENJUS5OWVNFOkFHQ08uSVFfRUJJVERBX01BUkdJTi4xMDAwLjEyLzMxLzIwMTUuLi5VU0QBAAAAT9gEAAIAAAAGOC42MTc1AQgAAAAFAAAAATEBAAAACjE4NzY3MzQ1NDADAAAAAzE2MAIAAAAENDA0NwQAAAABMAcAAAAKMTIvMzEvMjAxNQgAAAAKMTIvMzEvMjAxNQkAAAABMKVgGcDet9sICpVP2d632wgsQ0lRLk5ZU0U6Q05ISS5JUV9FQklUX01BUkdJTi4xMDAwLjEyLzMxLzIwMTkBAAAATmIZBgIAAAAGNS4yNzA4AQgAAAAFAAAAATEBAAAACy0yMTA5Nzg1ODMyAwAAAAMxNjACAAAABDQwNTMEAAAAATAHAAAACjEyLzMxLzIwMTkIAAAACjEyLzMxLzIwMTkJAAAAATClYBnA3rfbCAqVT9net9sILENJUS5OWVNFOkFHQ08uSVFfRUJJVF9NQVJHSU4uMTAwMC4xMi8zMC8yMDE2AQAAAE/YBAACAAAABjUuMTM0MwEIAAAABQAAAAExAQAAAAoxODc2NzM0NTQwAwAAAAMxNjACAAAABDQwNTMEAAAAATAHAAAACjEyLzMwLzIwMTYIAAAACjEyLzMxLzIwMTUJAAAAATClYBnA3rfbCAqVT9net9sIKkNJUS5OWVNFOkFHQ08uSVFfTklfTUFSR0lOLjEwMDAuMTIvMzEvMjAyMgEAAABP2AQAAgAAAAY3LjAzMTYBCAAAAAUAAAABMQEAAAALLTIwNTkwMTI2MDcDAAAAAzE2MAIAAAAENDA5NAQAAAABMAcAAAAKMTIvMzEvMjAyMggA</t>
  </si>
  <si>
    <t>AAAKMTIvMzEvMjAyMgkAAAABMKVgGcDet9sILx9S2d632wg1Q0lRLlNIU0U6NjAwMDMxLklRX0dST1NTX01BUkdJTi4xMDAwLjEyLzMxLzIwMjEuLi5VU0QBAAAAL1BZAAIAAAAHMjYuMTM1MQEIAAAABQAAAAExAQAAAAstMjA1MjU1OTQ3NgMAAAACMzICAAAABDQwNzQEAAAAATAHAAAACjEyLzMxLzIwMjEIAAAACjEyLzMxLzIwMjEJAAAAATClYBnA3rfbCLSYDsbet9sILkNJUS5OWVNFOkFHQ08uSVFfUkVUVVJOX0VRVUlUWS4xMDAwLjEyLzMxLzIwMjEBAAAAT9gEAAIAAAAHMjcuOTAyNAEIAAAABQAAAAExAQAAAAstMjA1OTAxMjU0NQMAAAADMTYwAgAAAAQ0MTI4BAAAAAEwBwAAAAoxMi8zMS8yMDIxCAAAAAoxMi8zMS8yMDIxCQAAAAEwpWAZwN632wgvH1LZ3rfbCDBDSVEuU0hTRTo2MDAwMzEuSVFfUkVUVVJOX0FTU0VUUy4xMDAwLjEyLzMxLzIwMTUBAAAAL1BZAAIAAAAGMS4xNDAzAQgAAAAFAAAAATEBAAAACjE4Mzg1MzkwNTcDAAAAAjMyAgAAAAQ0MTc4BAAAAAEwBwAAAAoxMi8zMS8yMDE1CAAAAAoxMi8zMS8yMDE1CQAAAAEwpWAZwN632whfklnU3rfbCCxDSVEuTllTRTpERS5JUV9SRVRVUk5fQVNTRVRTLjEwMDAuMTIvMzEvMjAxOAEAAACADwQAAgAAAAYzLjgyNTUBCAAAAAUAAAABMQEAAAAKMjA3NTI0NzExOQMAAAADMTYwAgAAAAQ0MTc4BAAAAAEwBwAAAAoxMi8zMS8yMDE4CAAAAAox</t>
  </si>
  <si>
    <t>MC8yOC8yMDE4CQAAAAEwpWAZwN632wgKlU/Z3rfbCC5DSVEuTllTRTpBR0NPLklRX1JFVFVSTl9BU1NFVFMuMTAwMC4xMi8zMS8yMDIwAQAAAE/YBAACAAAABjQuODU4MQEIAAAABQAAAAExAQAAAAstMjA1OTAxMjU3NwMAAAADMTYwAgAAAAQ0MTc4BAAAAAEwBwAAAAoxMi8zMS8yMDIwCAAAAAoxMi8zMS8yMDIwCQAAAAEwpWAZwN632wgKlU/Z3rfbCDZDSVEuU0hTRTo2MDAwMzEuSVFfRUJJVERBX01BUkdJTi4xMDAwLjEyLzMxLzIwMTMuLi5VU0QBAAAAL1BZAAIAAAAHMTIuNDI2OQEIAAAABQAAAAExAQAAAAoxNzI5NTQ1Njc2AwAAAAIzMgIAAAAENDA0NwQAAAABMAcAAAAKMTIvMzEvMjAxMwgAAAAKMTIvMzEvMjAxMwkAAAABMKVgGcDet9sIUb0G0d632wgyQ0lRLk5ZU0U6REUuSVFfRUJJVERBX01BUkdJTi4xMDAwLjEyLzMwLzIwMTYuLi5VU0QBAAAAgA8EAAIAAAAHMTQuMzU4MwEIAAAABQAAAAExAQAAAAoxOTM2MDA0OTc4AwAAAAMxNjACAAAABDQwNDcEAAAAATAHAAAACjEyLzMwLzIwMTYIAAAACjEwLzMwLzIwMTYJAAAAATClYBnA3rfbCAqVT9net9sINENJUS5OWVNFOkFHQ08uSVFfRUJJVERBX01BUkdJTi4xMDAwLjEyLzMxLzIwMTQuLi5VU0QBAAAAT9gEAAIAAAAHMTAuMDA5NQEIAAAABQAAAAExAQAAAAoxODI5OTUwOTc4AwAAAAMxNjACAAAABDQwNDcEAAAAATAHAAAACjEyLzMxLzIw</t>
  </si>
  <si>
    <t>MTQIAAAACjEyLzMxLzIwMTQJAAAAATClYBnA3rfbCAqVT9net9sIMENJUS5OQVNEQVFDTTpUT1JPLklRX0VCSVRfTUFSR0lOLjEwMDAuMTIvMzEvMjAyMgEAAAB5ezZsAgAAAAc0My4yMzE2AQgAAAAFAAAAATEBAAAACy0yMDMzMzQ2OTAwAwAAAAMxNjACAAAABDQwNTMEAAAAATAHAAAACjEyLzMxLzIwMjIIAAAACjEyLzMxLzIwMjIJAAAAATClYBnA3rfbCC8fUtnet9sILENJUS5OWVNFOkFHQ08uSVFfRUJJVF9NQVJHSU4uMTAwMC4xMi8zMS8yMDE1AQAAAE/YBAACAAAABjUuMTM0MwEIAAAABQAAAAExAQAAAAoxODc2NzM0NTQwAwAAAAMxNjACAAAABDQwNTMEAAAAATAHAAAACjEyLzMxLzIwMTUIAAAACjEyLzMxLzIwMTUJAAAAATClYBnA3rfbCAqVT9net9sIKkNJUS5OWVNFOkFHQ08uSVFfTklfTUFSR0lOLjEwMDAuMTIvMzEvMjAyMQEAAABP2AQAAgAAAAY4LjA1MzIBCAAAAAUAAAABMQEAAAALLTIwNTkwMTI1NDUDAAAAAzE2MAIAAAAENDA5NAQAAAABMAcAAAAKMTIvMzEvMjAyMQgAAAAKMTIvMzEvMjAyMQkAAAABMKVgGcDet9sIXfdR2d632wg1Q0lRLlNIU0U6NjAwMDMxLklRX0dST1NTX01BUkdJTi4xMDAwLjEyLzMxLzIwMjAuLi5VU0QBAAAAL1BZAAIAAAAHMjkuOTk2MQEIAAAABQAAAAExAQAAAAstMjEwMjA4MTAxNwMAAAACMzICAAAABDQwNzQEAAAAATAHAAAACjEyLzMxLzIwMjAIAAAA</t>
  </si>
  <si>
    <t>CjEyLzMxLzIwMjAJAAAAATClYBnA3rfbCLSYDsbet9sIMENJUS5TSFNFOjYwMDAzMS5JUV9SRVRVUk5fRVFVSVRZLjEwMDAuMTIvMzEvMjAyMgEAAAAvUFkAAgAAAAY2LjcxOTIBCAAAAAUAAAABMQEAAAALLTIwNTI1NTk0NzQDAAAAAjMyAgAAAAQ0MTI4BAAAAAEwBwAAAAoxMi8zMS8yMDIyCAAAAAoxMi8zMS8yMDIyCQAAAAEwpWAZwN632wgfKjLX3rfbCC5DSVEuTllTRTpBR0NPLklRX1JFVFVSTl9FUVVJVFkuMTAwMC4xMi8zMS8yMDIwAQAAAE/YBAACAAAABzE0LjE3MDQBCAAAAAUAAAABMQEAAAALLTIwNTkwMTI1NzcDAAAAAzE2MAIAAAAENDEyOAQAAAABMAcAAAAKMTIvMzEvMjAyMAgAAAAKMTIvMzEvMjAyMAkAAAABMKVgGcDet9sICpVP2d632wgwQ0lRLlNIU0U6NjAwMDMxLklRX1JFVFVSTl9BU1NFVFMuMTAwMC4xMi8zMS8yMDEzAQAAAC9QWQACAAAABjMuMDQ3MQEIAAAABQAAAAExAQAAAAoxNzI5NTQ1Njc2AwAAAAIzMgIAAAAENDE3OAQAAAABMAcAAAAKMTIvMzEvMjAxMwgAAAAKMTIvMzEvMjAxMwkAAAABMKVgGcDet9sIX5JZ1N632wgsQ0lRLk5ZU0U6REUuSVFfUkVUVVJOX0FTU0VUUy4xMDAwLjEyLzMxLzIwMTcBAAAAgA8EAAIAAAAGMi45NTY2AQgAAAAFAAAAATEBAAAACjE5OTY5OTg3MDYDAAAAAzE2MAIAAAAENDE3OAQAAAABMAcAAAAKMTIvMzEvMjAxNwgAAAAKMTAvMjkvMjAx</t>
  </si>
  <si>
    <t>NwkAAAABMKVgGcDet9sICpVP2d632wguQ0lRLk5ZU0U6QUdDTy5JUV9SRVRVUk5fQVNTRVRTLjEwMDAuMTIvMzEvMjAxNQEAAABP2AQAAgAAAAYzLjQ1NjEBCAAAAAUAAAABMQEAAAAKMTg3NjczNDU0MAMAAAADMTYwAgAAAAQ0MTc4BAAAAAEwBwAAAAoxMi8zMS8yMDE1CAAAAAoxMi8zMS8yMDE1CQAAAAEwpWAZwN632wgKlU/Z3rfbCDJDSVEuTllTRTpERS5JUV9FQklUREFfTUFSR0lOLjEwMDAuMTIvMzEvMjAxNS4uLlVTRAEAAACADwQAAgAAAAcxMy41MzE1AQgAAAAFAAAAATEBAAAACjE4Njk5NzE4MDEDAAAAAzE2MAIAAAAENDA0NwQAAAABMAcAAAAKMTIvMzEvMjAxNQgAAAAJMTEvMS8yMDE1CQAAAAEwpWAZwN632wgKlU/Z3rfbCDRDSVEuTllTRTpBR0NPLklRX0VCSVREQV9NQVJHSU4uMTAwMC4xMi8zMS8yMDEzLi4uVVNEAQAAAE/YBAACAAAABzEwLjc1NDcBCAAAAAUAAAABMQEAAAAKMTc3ODE4NTA4OAMAAAADMTYwAgAAAAQ0MDQ3BAAAAAEwBwAAAAoxMi8zMS8yMDEzCAAAAAoxMi8zMS8yMDEzCQAAAAEwpWAZwN632wgKlU/Z3rfbCDBDSVEuTkFTREFRQ006VE9STy5JUV9FQklUX01BUkdJTi4xMDAwLjEyLzMxLzIwMjEBAAAAeXs2bAIAAAAHLTIuNTA4OAEIAAAABQAAAAExAQAAAAstMjAzMzM0NjgzOQMAAAADMTYwAgAAAAQ0MDUzBAAAAAEwBwAAAAoxMi8zMS8yMDIxCAAAAAoxMi8zMS8y</t>
  </si>
  <si>
    <t>MDIxCQAAAAEwpWAZwN632wgvH1LZ3rfbCCxDSVEuTllTRTpBR0NPLklRX0VCSVRfTUFSR0lOLjEwMDAuMTIvMzEvMjAxNAEAAABP2AQAAgAAAAY3LjEyNTgBCAAAAAUAAAABMQEAAAAKMTgyOTk1MDk3OAMAAAADMTYwAgAAAAQ0MDUzBAAAAAEwBwAAAAoxMi8zMS8yMDE0CAAAAAoxMi8zMS8yMDE0CQAAAAEwpWAZwN632wgKlU/Z3rfbCChDSVEuTllTRTpERS5JUV9OSV9NQVJHSU4uMTAwMC4xMi8zMS8yMDE0AQAAAIAPBAACAAAABjguNzcwMwEIAAAABQAAAAExAQAAAAoxODIyOTY4Njg1AwAAAAMxNjACAAAABDQwOTQEAAAAATAHAAAACjEyLzMxLzIwMTQIAAAACjEwLzMxLzIwMTQJAAAAATClYBnA3rfbCAqVT9net9sIKkNJUS5OWVNFOkFHQ08uSVFfTklfTUFSR0lOLjEwMDAuMTIvMzEvMjAyMAEAAABP2AQAAgAAAAY0LjY2NzkBCAAAAAUAAAABMQEAAAALLTIwNTkwMTI1NzcDAAAAAzE2MAIAAAAENDA5NAQAAAABMAcAAAAKMTIvMzEvMjAyMAgAAAAKMTIvMzEvMjAyMAkAAAABMKVgGcDet9sICpVP2d632wg1Q0lRLlNIU0U6NjAwMDMxLklRX0dST1NTX01BUkdJTi4xMDAwLjEyLzMxLzIwMTguLi5VU0QBAAAAL1BZAAIAAAAGMzAuMjA5AQgAAAAFAAAAATEBAAAACjIwMzAxMjgyMjkDAAAAAjMyAgAAAAQ0MDc0BAAAAAEwBwAAAAoxMi8zMS8yMDE4CAAAAAoxMi8zMS8yMDE4CQAAAAEwpWAZwN632wi0</t>
  </si>
  <si>
    <t>mA7G3rfbCDBDSVEuU0hTRTo2MDAwMzEuSVFfUkVUVVJOX0VRVUlUWS4xMDAwLjEyLzMxLzIwMjEBAAAAL1BZAAIAAAAHMTkuOTYxOAEIAAAABQAAAAExAQAAAAstMjA1MjU1OTQ3NgMAAAACMzICAAAABDQxMjgEAAAAATAHAAAACjEyLzMxLzIwMjEIAAAACjEyLzMxLzIwMjEJAAAAATClYBnA3rfbCB8qMtfet9sILkNJUS5OWVNFOkFHQ08uSVFfUkVUVVJOX0VRVUlUWS4xMDAwLjEyLzMxLzIwMTkBAAAAT9gEAAIAAAAGNC4xNjIzAQgAAAAFAAAAATEBAAAACy0yMTEwNDU3Mjg4AwAAAAMxNjACAAAABDQxMjgEAAAAATAHAAAACjEyLzMxLzIwMTkIAAAACjEyLzMxLzIwMTkJAAAAATClYBnA3rfbCAqVT9net9sILkNJUS5OWVNFOkFHQ08uSVFfUkVUVVJOX0FTU0VUUy4xMDAwLjEyLzMxLzIwMTQBAAAAT9gEAAIAAAAGNS40NzkxAQgAAAAFAAAAATEBAAAACjE4Mjk5NTA5NzgDAAAAAzE2MAIAAAAENDE3OAQAAAABMAcAAAAKMTIvMzEvMjAxNAgAAAAKMTIvMzEvMjAxNAkAAAABMKVgGcDet9sICpVP2d632wg4Q0lRLk5BU0RBUUNNOlRPUk8uSVFfRUJJVERBX01BUkdJTi4xMDAwLjEyLzMxLzIwMjEuLi5VU0QBAAAAeXs2bAIAAAAHMTAuMDI3NAEIAAAABQAAAAExAQAAAAstMjAzMzM0NjgzOQMAAAADMTYwAgAAAAQ0MDQ3BAAAAAEwBwAAAAoxMi8zMS8yMDIxCAAAAAoxMi8zMS8yMDIxCQAAAAEwpWAZwN63</t>
  </si>
  <si>
    <t>2whd91HZ3rfbCDBDSVEuTkFTREFRQ006VE9STy5JUV9FQklUX01BUkdJTi4xMDAwLjEyLzMxLzIwMjABAAAAeXs2bAMAAAAAAKVgGcDet9sICpVP2d632wgsQ0lRLk5ZU0U6QUdDTy5JUV9FQklUX01BUkdJTi4xMDAwLjEyLzMxLzIwMTMBAAAAT9gEAAIAAAAGOC4zNDk5AQgAAAAFAAAAATEBAAAACjE3NzgxODUwODgDAAAAAzE2MAIAAAAENDA1MwQAAAABMAcAAAAKMTIvMzEvMjAxMwgAAAAKMTIvMzEvMjAxMwkAAAABMKVgGcDet9sICpVP2d632wgoQ0lRLk5ZU0U6REUuSVFfTklfTUFSR0lOLjEwMDAuMTIvMzEvMjAxMwEAAACADwQAAgAAAAY5LjM2MjcBCAAAAAUAAAABMQEAAAAKMTc3NDI3NDE3NwMAAAADMTYwAgAAAAQ0MDk0BAAAAAEwBwAAAAoxMi8zMS8yMDEzCAAAAAoxMC8zMS8yMDEzCQAAAAEwpWAZwN632wgKlU/Z3rfbCCpDSVEuTllTRTpBR0NPLklRX05JX01BUkdJTi4xMDAwLjEyLzMxLzIwMTkBAAAAT9gEAAIAAAAGMS4zODQ3AQgAAAAFAAAAATEBAAAACy0yMTEwNDU3Mjg4AwAAAAMxNjACAAAABDQwOTQEAAAAATAHAAAACjEyLzMxLzIwMTkIAAAACjEyLzMxLzIwMTkJAAAAATClYBnA3rfbCAqVT9net9sINUNJUS5TSFNFOjYwMDAzMS5JUV9HUk9TU19NQVJHSU4uMTAwMC4xMi8zMS8yMDE0Li4uVVNEAQAAAC9QWQACAAAABzI1LjQ0ODgBCAAAAAUAAAABMQEAAAAKMTc4OTAwODEzOAMA</t>
  </si>
  <si>
    <t>AAACMzICAAAABDQwNzQEAAAAATAHAAAACjEyLzMxLzIwMTQIAAAACjEyLzMxLzIwMTQJAAAAATClYBnA3rfbCHdrXcXet9sIMENJUS5TSFNFOjYwMDAzMS5JUV9SRVRVUk5fRVFVSVRZLjEwMDAuMTIvMzEvMjAxNAEAAAAvUFkAAgAAAAYzLjAzOTEBCAAAAAUAAAABMQEAAAAKMTc4OTAwODEzOAMAAAACMzICAAAABDQxMjgEAAAAATAHAAAACjEyLzMxLzIwMTQIAAAACjEyLzMxLzIwMTQJAAAAATClYBnA3rfbCEPKL9fet9sILkNJUS5OWVNFOkFHQ08uSVFfUkVUVVJOX0VRVUlUWS4xMDAwLjEyLzMxLzIwMTgBAAAAT9gEAAIAAAAGOS4zMTg3AQgAAAAFAAAAATEBAAAACjIwODI0OTc3MTMDAAAAAzE2MAIAAAAENDEyOAQAAAABMAcAAAAKMTIvMzEvMjAxOAgAAAAKMTIvMzEvMjAxOAkAAAABMKVgGcDet9sICpVP2d632wguQ0lRLk5ZU0U6QUdDTy5JUV9SRVRVUk5fQVNTRVRTLjEwMDAuMTIvMzEvMjAxMwEAAABP2AQAAgAAAAY2Ljk2NjcBCAAAAAUAAAABMQEAAAAKMTc3ODE4NTA4OAMAAAADMTYwAgAAAAQ0MTc4BAAAAAEwBwAAAAoxMi8zMS8yMDEzCAAAAAoxMi8zMS8yMDEzCQAAAAEwpWAZwN632wgKlU/Z3rfbCDhDSVEuTkFTREFRQ006VE9STy5JUV9FQklUREFfTUFSR0lOLjEwMDAuMTIvMzEvMjAyMC4uLlVTRAEAAAB5ezZsAwAAAAAApWAZwN632wgKlU/Z3rfbCDBDSVEuTkFTREFRQ006VE9STy5J</t>
  </si>
  <si>
    <t>UV9FQklUX01BUkdJTi4xMDAwLjEyLzMxLzIwMTkBAAAAeXs2bAMAAAAAAKVgGcDet9sICpVP2d632wgqQ0lRLk5ZU0U6QUdDTy5JUV9OSV9NQVJHSU4uMTAwMC4xMi8zMS8yMDE4AQAAAE/YBAACAAAABjMuMDUyOAEIAAAABQAAAAExAQAAAAoyMDgyNDk3NzEzAwAAAAMxNjACAAAABDQwOTQEAAAAATAHAAAACjEyLzMxLzIwMTgIAAAACjEyLzMxLzIwMTgJAAAAATClYBnA3rfbCAqVT9net9sINUNJUS5TSFNFOjYwMDAzMS5JUV9HUk9TU19NQVJHSU4uMTAwMC4xMi8zMS8yMDEzLi4uVVNEAQAAAC9QWQACAAAABzI2LjAzNDgBCAAAAAUAAAABMQEAAAAKMTcyOTU0NTY3NgMAAAACMzICAAAABDQwNzQEAAAAATAHAAAACjEyLzMxLzIwMTMIAAAACjEyLzMxLzIwMTMJAAAAATClYBnA3rfbCHsWW8Xet9sIM0NJUS5OWVNFOkNOSEkuSVFfR1JPU1NfTUFSR0lOLjEwMDAuMTIvMzEvMjAxOC4uLlVTRAEAAABOYhkGAgAAAAcyMC44Mzc1AQgAAAAFAAAAATEBAAAACjIwODI5NDcxNzADAAAAAzE2MAIAAAAENDA3NAQAAAABMAcAAAAKMTIvMzEvMjAxOAgAAAAKMTIvMzEvMjAxOAkAAAABMKVgGcDet9sICpVP2d632wgwQ0lRLlNIU0U6NjAwMDMxLklRX1JFVFVSTl9FUVVJVFkuMTAwMC4xMi8zMS8yMDEzAQAAAC9QWQACAAAABzEyLjQ3MzYBCAAAAAUAAAABMQEAAAAKMTcyOTU0NTY3NgMAAAACMzICAAAABDQxMjgE</t>
  </si>
  <si>
    <t>AAAAATAHAAAACjEyLzMxLzIwMTMIAAAACjEyLzMxLzIwMTMJAAAAATClYBnA3rfbCEPKL9fet9sILkNJUS5OWVNFOkFHQ08uSVFfUkVUVVJOX0VRVUlUWS4xMDAwLjEyLzMxLzIwMTMBAAAAT9gEAAIAAAAHMTUuNzM5NAEIAAAABQAAAAExAQAAAAoxNzc4MTg1MDg4AwAAAAMxNjACAAAABDQxMjgEAAAAATAHAAAACjEyLzMxLzIwMTMIAAAACjEyLzMxLzIwMTMJAAAAATClYBnA3rfbCAqVT9net9sIMkNJUS5OQVNEQVFDTTpUT1JPLklRX1JFVFVSTl9BU1NFVFMuMTAwMC4xMi8zMC8yMDE2AQAAAHl7NmwDAAAAAAClYBnA3rfbCAqVT9net9sIM0NJUS5OU0VJOk0mTS5JUV9FQklUREFfTUFSR0lOLjEwMDAuMTIvMzEvMjAyMC4uLlVTRAEAAABCZw0AAgAAAAcxNy45MDU3AQgAAAAFAAAAATEBAAAACy0yMTQzODIzMTc1AwAAAAI3MgIAAAAENDA0NwQAAAABMAcAAAAKMTIvMzEvMjAyMAgAAAAJMy8zMS8yMDIwCQAAAAEwpWAZwN632wgKlU/Z3rfbCCtDSVEuTllTRTpURVguSVFfRUJJVF9NQVJHSU4uMTAwMC4xMi8zMS8yMDE5AQAAAA6zBAACAAAABjcuNjk3OQEIAAAABQAAAAExAQAAAAstMjExMjYxMzI0NQMAAAADMTYwAgAAAAQ0MDUzBAAAAAEwBwAAAAoxMi8zMS8yMDE5CAAAAAoxMi8zMS8yMDE5CQAAAAEwpWAZwN632wgVG6TO3rfbCCtDSVEuTlNFSTpNJk0uSVFfRUJJVF9NQVJHSU4uMTAwMC4xMi8z</t>
  </si>
  <si>
    <t>MS8yMDE5AQAAAEJnDQACAAAABzExLjQ4NzMBCAAAAAUAAAABMQEAAAAKMjA0NDk0MTQxMAMAAAACNzICAAAABDQwNTMEAAAAATAHAAAACjEyLzMxLzIwMTkIAAAACTMvMzEvMjAxOQkAAAABMKVgGcDet9sICpVP2d632wgpQ0lRLk5ZU0U6VEVYLklRX05JX01BUkdJTi4xMDAwLjEyLzMxLzIwMjIBAAAADrMEAAIAAAAGNi43OTA4AQgAAAAFAAAAATEBAAAACy0yMDYxNjMxNjM5AwAAAAMxNjACAAAABDQwOTQEAAAAATAHAAAACjEyLzMxLzIwMjIIAAAACjEyLzMxLzIwMjIJAAAAATClYBnA3rfbCERDf8ret9sILkNJUS5OQVNEQVFDTTpUT1JPLklRX05JX01BUkdJTi4xMDAwLjEyLzMxLzIwMTMBAAAAeXs2bAMAAAAAAKVgGcDet9sICpVP2d632wgyQ0lRLk5BU0RBUUNNOlRPUk8uSVFfUkVUVVJOX0VRVUlUWS4xMDAwLjEyLzMwLzIwMTYBAAAAeXs2bAMAAAAAAKVgGcDet9sICpVP2d632wgyQ0lRLk5BU0RBUUNNOlRPUk8uSVFfUkVUVVJOX0FTU0VUUy4xMDAwLjEyLzMxLzIwMTUBAAAAeXs2bAMAAAAAAKVgGcDet9sICpVP2d632wgzQ0lRLk5TRUk6TSZNLklRX0VCSVREQV9NQVJHSU4uMTAwMC4xMi8zMS8yMDE5Li4uVVNEAQAAAEJnDQACAAAABzE0LjA5NTQBCAAAAAUAAAABMQEAAAAKMjA0NDk0MTQxMAMAAAACNzICAAAABDQwNDcEAAAAATAHAAAACjEyLzMxLzIwMTkIAAAACTMvMzEvMjAxOQkAAAAB</t>
  </si>
  <si>
    <t>MKVgGcDet9sICpVP2d632wgrQ0lRLk5ZU0U6VEVYLklRX0VCSVRfTUFSR0lOLjEwMDAuMTIvMzEvMjAxOAEAAAAOswQAAgAAAAY4LjAzMzcBCAAAAAUAAAABMQEAAAAKMjA3OTk2NTEyNQMAAAADMTYwAgAAAAQ0MDUzBAAAAAEwBwAAAAoxMi8zMS8yMDE4CAAAAAoxMi8zMS8yMDE4CQAAAAEwpWAZwN632wgVG6TO3rfbCCtDSVEuTlNFSTpNJk0uSVFfRUJJVF9NQVJHSU4uMTAwMC4xMi8zMS8yMDE4AQAAAEJnDQACAAAABjExLjI4NAEIAAAABQAAAAExAQAAAAoxOTcwNjM4MTEwAwAAAAI3MgIAAAAENDA1MwQAAAABMAcAAAAKMTIvMzEvMjAxOAgAAAAJMy8zMS8yMDE4CQAAAAEwpWAZwN632wgKlU/Z3rfbCClDSVEuTllTRTpURVguSVFfTklfTUFSR0lOLjEwMDAuMTIvMzEvMjAyMQEAAAAOswQAAgAAAAY1LjY4MzMBCAAAAAUAAAABMQEAAAALLTIwNjE2MzE2MjkDAAAAAzE2MAIAAAAENDA5NAQAAAABMAcAAAAKMTIvMzEvMjAyMQgAAAAKMTIvMzEvMjAyMQkAAAABMKVgGcDet9sI3+B8yt632wgqQ0lRLk5ZU0U6QUdDTy5JUV9OSV9NQVJHSU4uMTAwMC4xMi8zMC8yMDE2AQAAAE/YBAACAAAABjMuNTY3NQEIAAAABQAAAAExAQAAAAoxODc2NzM0NTQwAwAAAAMxNjACAAAABDQwOTQEAAAAATAHAAAACjEyLzMwLzIwMTYIAAAACjEyLzMxLzIwMTUJAAAAATClYBnA3rfbCAqVT9net9sIMkNJUS5OQVNEQVFD</t>
  </si>
  <si>
    <t>TTpUT1JPLklRX1JFVFVSTl9FUVVJVFkuMTAwMC4xMi8zMS8yMDE1AQAAAHl7NmwDAAAAAAClYBnA3rfbCAqVT9net9sIMkNJUS5OQVNEQVFDTTpUT1JPLklRX1JFVFVSTl9BU1NFVFMuMTAwMC4xMi8zMS8yMDE0AQAAAHl7NmwDAAAAAAClYBnA3rfbCAqVT9net9sILUNJUS5UU0U6NjUwMS5JUV9SRVRVUk5fQVNTRVRTLjEwMDAuMTIvMzEvMjAxNwEAAACbLQIAAgAAAAYzLjMwNDYBCAAAAAUAAAABMQEAAAAKMTk2MzMxNTkwMAMAAAACNzkCAAAABDQxNzgEAAAAATAHAAAACjEyLzMxLzIwMTcIAAAACTMvMzEvMjAxNwkAAAABMKVgGcDet9sI2vRb1N632wguQ0lRLlNIU0U6NjAwMDMxLklRX0VCSVRfTUFSR0lOLjEwMDAuMTIvMzEvMjAxOAEAAAAvUFkAAgAAAAcxMy41NTkxAQgAAAAFAAAAATEBAAAACjIwMzAxMjgyMjkDAAAAAjMyAgAAAAQ0MDUzBAAAAAEwBwAAAAoxMi8zMS8yMDE4CAAAAAoxMi8zMS8yMDE4CQAAAAEwpWAZwN632wgVG6TO3rfbCDJDSVEuVFNFOjY1MDEuSVFfR1JPU1NfTUFSR0lOLjEwMDAuMTIvMzEvMjAyMS4uLlVTRAEAAACbLQIAAgAAAAYyNS4xNDkBCAAAAAUAAAABMQEAAAALLTIwODg4MjE2NDkDAAAAAjc5AgAAAAQ0MDc0BAAAAAEwBwAAAAoxMi8zMS8yMDIxCAAAAAkzLzMxLzIwMjEJAAAAATClYBnA3rfbCLSYDsbet9sILUNJUS5UU0U6NjMyNi5JUV9SRVRVUk5fRVFVSVRZ</t>
  </si>
  <si>
    <t>LjEwMDAuMTIvMzEvMjAyMAEAAAAZVwQAAgAAAAY5LjA4OTEBCAAAAAUAAAABMQEAAAALLTIxMDc3MTQwMDgDAAAAAjc5AgAAAAQ0MTI4BAAAAAEwBwAAAAoxMi8zMS8yMDIwCAAAAAoxMi8zMS8yMDIwCQAAAAEwpWAZwN632wgKlU/Z3rfbCC1DSVEuVFNFOjYzMjYuSVFfUkVUVVJOX0FTU0VUUy4xMDAwLjEyLzMxLzIwMTUBAAAAGVcEAAMAAAAAAKVgGcDet9sICpVP2d632wgzQ0lRLlRTRTo2MzI2LklRX0VCSVREQV9NQVJHSU4uMTAwMC4xMi8zMS8yMDEzLi4uVVNEAQAAABlXBAACAAAABzEyLjU2NjIBCAAAAAUAAAABMQEAAAAKMTc0MzU2NTcyOQMAAAACNzkCAAAABDQwNDcEAAAAATAHAAAACjEyLzMxLzIwMTMIAAAACTMvMzEvMjAxMwkAAAABMKVgGcDet9sICpVP2d632wgpQ0lRLlRTRTo2MzI2LklRX05JX01BUkdJTi4xMDAwLjEyLzMxLzIwMTgBAAAAGVcEAAIAAAAGNy40OTAzAQgAAAAFAAAAATEBAAAACjIwMjMwNTYwOTcDAAAAAjc5AgAAAAQ0MDk0BAAAAAEwBwAAAAoxMi8zMS8yMDE4CAAAAAoxMi8zMS8yMDE4CQAAAAEwpWAZwN632wgKlU/Z3rfbCC1DSVEuTllTRTpDQVQuSVFfUkVUVVJOX0VRVUlUWS4xMDAwLjEyLzMxLzIwMTkBAAAAMvUDAAIAAAAHNDIuNDUzNQEIAAAABQAAAAExAQAAAAstMjExMjE1NzE1OQMAAAADMTYwAgAAAAQ0MTI4BAAAAAEwBwAAAAoxMi8zMS8yMDE5CAAAAAox</t>
  </si>
  <si>
    <t>Mi8zMS8yMDE5CQAAAAEwpWAZwN632wgfKjLX3rfbCDJDSVEuVFNFOjY1MDEuSVFfR1JPU1NfTUFSR0lOLjEwMDAuMTIvMzEvMjAyMC4uLlVTRAEAAACbLQIAAgAAAAcyNy4wMzY1AQgAAAAFAAAAATEBAAAACy0yMTIwNTU3NDg2AwAAAAI3OQIAAAAENDA3NAQAAAABMAcAAAAKMTIvMzEvMjAyMAgAAAAJMy8zMS8yMDIwCQAAAAEwpWAZwN632wi0mA7G3rfbCC1DSVEuVFNFOjYzMjYuSVFfUkVUVVJOX0FTU0VUUy4xMDAwLjEyLzMwLzIwMTYBAAAAGVcEAAMAAAAAAKVgGcDet9sICpVP2d632wgyQ0lRLk5TRUk6TSZNLklRX0dST1NTX01BUkdJTi4xMDAwLjEyLzMxLzIwMTUuLi5VU0QBAAAAQmcNAAIAAAAHMzkuMjg2NAEIAAAABQAAAAExAQAAAAoxNzk5Mjk2NTcwAwAAAAI3MgIAAAAENDA3NAQAAAABMAcAAAAKMTIvMzEvMjAxNQgAAAAJMy8zMS8yMDE1CQAAAAEwpWAZwN632wgKlU/Z3rfbCDJDSVEuTllTRTpDQVQuSVFfR1JPU1NfTUFSR0lOLjEwMDAuMTIvMzEvMjAyMi4uLlVTRAEAAAAy9QMAAgAAAAcyNi4xOTE3AQgAAAAFAAAAATEBAAAACy0yMDYwODgxOTM3AwAAAAMxNjACAAAABDQwNzQEAAAAATAHAAAACjEyLzMxLzIwMjIIAAAACjEyLzMxLzIwMjIJAAAAATClYBnA3rfbCLSYDsbet9sIMkNJUS5OU0VJOk0mTS5JUV9HUk9TU19NQVJHSU4uMTAwMC4xMi8zMS8yMDE5Li4uVVNEAQAAAEJnDQAC</t>
  </si>
  <si>
    <t>AAAABzQyLjYwNTcBCAAAAAUAAAABMQEAAAAKMjA0NDk0MTQxMAMAAAACNzICAAAABDQwNzQEAAAAATAHAAAACjEyLzMxLzIwMTkIAAAACTMvMzEvMjAxOQkAAAABMKVgGcDet9sICpVP2d632wgtQ0lRLlRTRTo2NTAxLklRX1JFVFVSTl9BU1NFVFMuMTAwMC4xMi8zMC8yMDE2AQAAAJstAgACAAAABjMuMTg0OAEIAAAABQAAAAExAQAAAAoxNzk3NTU0NDUxAwAAAAI3OQIAAAAENDE3OAQAAAABMAcAAAAKMTIvMzAvMjAxNggAAAAJMy8zMS8yMDE2CQAAAAEwpWAZwN632wja9FvU3rfbCC5DSVEuU0hTRTo2MDAwMzEuSVFfRUJJVF9NQVJHSU4uMTAwMC4xMi8zMS8yMDE3AQAAAC9QWQACAAAABjkuODY0MgEIAAAABQAAAAExAQAAAAoxOTUyNjIwMzg5AwAAAAIzMgIAAAAENDA1MwQAAAABMAcAAAAKMTIvMzEvMjAxNwgAAAAKMTIvMzEvMjAxNwkAAAABMKVgGcDet9sIIrihzt632wgsQ0lRLlNIU0U6NjAwMDMxLklRX05JX01BUkdJTi4xMDAwLjEyLzMxLzIwMTkBAAAAL1BZAAIAAAAGMTQuODU3AQgAAAAFAAAAATEBAAAACjIwODY5MTc4NzYDAAAAAjMyAgAAAAQ0MDk0BAAAAAEwBwAAAAoxMi8zMS8yMDE5CAAAAAoxMi8zMS8yMDE5CQAAAAEwpWAZwN632wjf4HzK3rfbCC1DSVEuTlNFSTpNJk0uSVFfUkVUVVJOX0FTU0VUUy4xMDAwLjEyLzMxLzIwMTcBAAAAQmcNAAIAAAAGNS4wNjA3AQgAAAAFAAAAATEB</t>
  </si>
  <si>
    <t>AAAACjE4OTU0NjU0MzcDAAAAAjcyAgAAAAQ0MTc4BAAAAAEwBwAAAAoxMi8zMS8yMDE3CAAAAAkzLzMxLzIwMTcJAAAAATClYBnA3rfbCAqVT9net9sIM0NJUS5OWVNFOlRFWC5JUV9FQklUREFfTUFSR0lOLjEwMDAuMTIvMzAvMjAxNi4uLlVTRAEAAAAOswQAAgAAAAY3Ljk5OTIBCAAAAAUAAAABMQEAAAAKMTg3NDgzMjY2MwMAAAADMTYwAgAAAAQ0MDQ3BAAAAAEwBwAAAAoxMi8zMC8yMDE2CAAAAAoxMi8zMS8yMDE1CQAAAAEwpWAZwN632wisHwnR3rfbCDNDSVEuTlNFSTpNJk0uSVFfRUJJVERBX01BUkdJTi4xMDAwLjEyLzMxLzIwMTUuLi5VU0QBAAAAQmcNAAIAAAAHMTIuNTQwNQEIAAAABQAAAAExAQAAAAoxNzk5Mjk2NTcwAwAAAAI3MgIAAAAENDA0NwQAAAABMAcAAAAKMTIvMzEvMjAxNQgAAAAJMy8zMS8yMDE1CQAAAAEwpWAZwN632wgKlU/Z3rfbCCtDSVEuTllTRTpURVguSVFfRUJJVF9NQVJHSU4uMTAwMC4xMi8zMS8yMDE0AQAAAA6zBAACAAAABjcuMzA0OAEIAAAABQAAAAExAQAAAAoxODI5NTgyMDQ3AwAAAAMxNjACAAAABDQwNTMEAAAAATAHAAAACjEyLzMxLzIwMTQIAAAACjEyLzMxLzIwMTQJAAAAATClYBnA3rfbCMRVn87et9sIK0NJUS5UU0U6NjMyNi5JUV9FQklUX01BUkdJTi4xMDAwLjEyLzMxLzIwMjIBAAAAGVcEAAIAAAAGNy45MzIyAQgAAAAFAAAAATEBAAAACy0yMDU1NjE2</t>
  </si>
  <si>
    <t>NDM0AwAAAAI3OQIAAAAENDA1MwQAAAABMAcAAAAKMTIvMzEvMjAyMggAAAAKMTIvMzEvMjAyMgkAAAABMKVgGcDet9sILx9S2d632wgpQ0lRLk5ZU0U6VEVYLklRX05JX01BUkdJTi4xMDAwLjEyLzMxLzIwMTcBAAAADrMEAAIAAAAGMy4zOTI0AQgAAAAFAAAAATEBAAAACjIwMTQyNzY5NTIDAAAAAzE2MAIAAAAENDA5NAQAAAABMAcAAAAKMTIvMzEvMjAxNwgAAAAKMTIvMzEvMjAxNwkAAAABMKVgGcDet9sIhH56yt632wgpQ0lRLk5TRUk6TSZNLklRX05JX01BUkdJTi4xMDAwLjEyLzMxLzIwMTkBAAAAQmcNAAIAAAAGNS4wMzE3AQgAAAAFAAAAATEBAAAACjIwNDQ5NDE0MTADAAAAAjcyAgAAAAQ0MDk0BAAAAAEwBwAAAAoxMi8zMS8yMDE5CAAAAAkzLzMxLzIwMTkJAAAAATClYBnA3rfbCAqVT9net9sIN0NJUS5OQVNEQVFDTTpUT1JPLklRX0dST1NTX01BUkdJTi4xMDAwLjEyLzMwLzIwMTYuLi5VU0QBAAAAeXs2bAMAAAAAAKVgGcDet9sICpVP2d632wgzQ0lRLk5ZU0U6QUdDTy5JUV9HUk9TU19NQVJHSU4uMTAwMC4xMi8zMS8yMDIwLi4uVVNEAQAAAE/YBAACAAAABjIyLjQ4NwEIAAAABQAAAAExAQAAAAstMjA1OTAxMjU3NwMAAAADMTYwAgAAAAQ0MDc0BAAAAAEwBwAAAAoxMi8zMS8yMDIwCAAAAAoxMi8zMS8yMDIwCQAAAAEwpWAZwN632wgKlU/Z3rfbCC1DSVEuTlNFSTpNJk0uSVFfUkVUVVJO</t>
  </si>
  <si>
    <t>X0VRVUlUWS4xMDAwLjEyLzMxLzIwMjIBAAAAQmcNAAIAAAAHMTMuNDk2NwEIAAAABQAAAAExAQAAAAstMjAzOTA4Mjc4NAMAAAACNzICAAAABDQxMjgEAAAAATAHAAAACjEyLzMxLzIwMjIIAAAACTMvMzEvMjAyMgkAAAABMKVgGcDet9sILx9S2d632wgtQ0lRLk5TRUk6TSZNLklRX1JFVFVSTl9BU1NFVFMuMTAwMC4xMi8zMC8yMDE2AQAAAEJnDQACAAAABjUuMTY5NwEIAAAABQAAAAExAQAAAAoxODQ5MTgyMjYyAwAAAAI3MgIAAAAENDE3OAQAAAABMAcAAAAKMTIvMzAvMjAxNggAAAAJMy8zMS8yMDE2CQAAAAEwpWAZwN632wgKlU/Z3rfbCDNDSVEuTllTRTpDQVQuSVFfRUJJVERBX01BUkdJTi4xMDAwLjEyLzMxLzIwMjEuLi5VU0QBAAAAMvUDAAIAAAAHMjAuODQ3MQEIAAAABQAAAAExAQAAAAstMjA2MDg4MTk0MQMAAAADMTYwAgAAAAQ0MDQ3BAAAAAEwBwAAAAoxMi8zMS8yMDIxCAAAAAoxMi8zMS8yMDIxCQAAAAEwpWAZwN632wgFggvR3rfbCDNDSVEuTlNFSTpNJk0uSVFfRUJJVERBX01BUkdJTi4xMDAwLjEyLzMxLzIwMTQuLi5VU0QBAAAAQmcNAAIAAAAHMTMuOTM1OAEIAAAABQAAAAExAQAAAAoxNzQ1NzI4NzYzAwAAAAI3MgIAAAAENDA0NwQAAAABMAcAAAAKMTIvMzEvMjAxNAgAAAAJMy8zMS8yMDE0CQAAAAEwpWAZwN632wgKlU/Z3rfbCCtDSVEuTllTRTpDQVQuSVFfRUJJVF9NQVJHSU4u</t>
  </si>
  <si>
    <t>MTAwMC4xMi8zMC8yMDE2AQAAADL1AwACAAAABjkuOTEwNAEIAAAABQAAAAExAQAAAAoxODc0NTI0NDUzAwAAAAMxNjACAAAABDQwNTMEAAAAATAHAAAACjEyLzMwLzIwMTYIAAAACjEyLzMxLzIwMTUJAAAAATClYBnA3rfbCCK4oc7et9sIK0NJUS5UU0U6NjMyNi5JUV9FQklUX01BUkdJTi4xMDAwLjEyLzMxLzIwMjEBAAAAGVcEAAIAAAAHMTEuMDI5NAEIAAAABQAAAAExAQAAAAstMjEwNzcxNDAxNAMAAAACNzkCAAAABDQwNTMEAAAAATAHAAAACjEyLzMxLzIwMjEIAAAACjEyLzMxLzIwMjEJAAAAATClYBnA3rfbCC8fUtnet9sIKUNJUS5OWVNFOkNBVC5JUV9OSV9NQVJHSU4uMTAwMC4xMi8zMS8yMDE5AQAAADL1AwACAAAABzExLjMyNTIBCAAAAAUAAAABMQEAAAALLTIxMTIxNTcxNTkDAAAAAzE2MAIAAAAENDA5NAQAAAABMAcAAAAKMTIvMzEvMjAxOQgAAAAKMTIvMzEvMjAxOQkAAAABMKVgGcDet9sI3+B8yt632wgpQ0lRLk5TRUk6TSZNLklRX05JX01BUkdJTi4xMDAwLjEyLzMxLzIwMTgBAAAAQmcNAAIAAAAGOC4xMTA4AQgAAAAFAAAAATEBAAAACjE5NzA2MzgxMTADAAAAAjcyAgAAAAQ0MDk0BAAAAAEwBwAAAAoxMi8zMS8yMDE4CAAAAAkzLzMxLzIwMTgJAAAAATClYBnA3rfbCAqVT9net9sIMkNJUS5OWVNFOlRFWC5JUV9HUk9TU19NQVJHSU4uMTAwMC4xMi8zMS8yMDE5Li4uVVNEAQAAAA6z</t>
  </si>
  <si>
    <t>BAACAAAABzIwLjM5NDYBCAAAAAUAAAABMQEAAAALLTIxMTI2MTMyNDUDAAAAAzE2MAIAAAAENDA3NAQAAAABMAcAAAAKMTIvMzEvMjAxOQgAAAAKMTIvMzEvMjAxOQkAAAABMKVgGcDet9sItJgOxt632wg3Q0lRLk5BU0RBUUNNOlRPUk8uSVFfR1JPU1NfTUFSR0lOLjEwMDAuMTIvMzEvMjAxNS4uLlVTRAEAAAB5ezZsAwAAAAAApWAZwN632wgKlU/Z3rfbCDNDSVEuTllTRTpBR0NPLklRX0dST1NTX01BUkdJTi4xMDAwLjEyLzMxLzIwMTkuLi5VU0QBAAAAT9gEAAIAAAAHMjEuOTQ2OAEIAAAABQAAAAExAQAAAAstMjExMDQ1NzI4OAMAAAADMTYwAgAAAAQ0MDc0BAAAAAEwBwAAAAoxMi8zMS8yMDE5CAAAAAoxMi8zMS8yMDE5CQAAAAEwpWAZwN632wgKlU/Z3rfbCC1DSVEuTlNFSTpNJk0uSVFfUkVUVVJOX0VRVUlUWS4xMDAwLjEyLzMwLzIwMTYBAAAAQmcNAAIAAAAHMTEuMDc5OAEIAAAABQAAAAExAQAAAAoxODQ5MTgyMjYyAwAAAAI3MgIAAAAENDEyOAQAAAABMAcAAAAKMTIvMzAvMjAxNggAAAAJMy8zMS8yMDE2CQAAAAEwpWAZwN632wgKlU/Z3rfbCC1DSVEuTllTRTpDQVQuSVFfUkVUVVJOX0FTU0VUUy4xMDAwLjEyLzMxLzIwMjIBAAAAMvUDAAIAAAAGNy40MDI3AQgAAAAFAAAAATEBAAAACy0yMDYwODgxOTM3AwAAAAMxNjACAAAABDQxNzgEAAAAATAHAAAACjEyLzMxLzIwMjIIAAAACjEyLzMx</t>
  </si>
  <si>
    <t>LzIwMjIJAAAAATClYBnA3rfbCEdXXtTet9sILUNJUS5OU0VJOk0mTS5JUV9SRVRVUk5fQVNTRVRTLjEwMDAuMTIvMzEvMjAxNQEAAABCZw0AAgAAAAY0LjgzODkBCAAAAAUAAAABMQEAAAAKMTc5OTI5NjU3MAMAAAACNzICAAAABDQxNzgEAAAAATAHAAAACjEyLzMxLzIwMTUIAAAACTMvMzEvMjAxNQkAAAABMKVgGcDet9sICpVP2d632wgzQ0lRLk5ZU0U6Q0FULklRX0VCSVREQV9NQVJHSU4uMTAwMC4xMi8zMC8yMDE2Li4uVVNEAQAAADL1AwACAAAABzE2LjM4OTcBCAAAAAUAAAABMQEAAAAKMTg3NDUyNDQ1MwMAAAADMTYwAgAAAAQ0MDQ3BAAAAAEwBwAAAAoxMi8zMC8yMDE2CAAAAAoxMi8zMS8yMDE1CQAAAAEwpWAZwN632wisHwnR3rfbCDNDSVEuTlNFSTpNJk0uSVFfRUJJVERBX01BUkdJTi4xMDAwLjEyLzMxLzIwMTMuLi5VU0QBAAAAQmcNAAIAAAAHMTMuMzA2MwEIAAAABQAAAAExAQAAAAoxNjkwMTAyMjc1AwAAAAI3MgIAAAAENDA0NwQAAAABMAcAAAAKMTIvMzEvMjAxMwgAAAAJMy8zMS8yMDEzCQAAAAEwpWAZwN632wgKlU/Z3rfbCCtDSVEuVFNFOjY1MDEuSVFfRUJJVF9NQVJHSU4uMTAwMC4xMi8zMS8yMDIyAQAAAJstAgACAAAABTcuMTkyAQgAAAAFAAAAATEBAAAACy0yMDg4ODIxNjcxAwAAAAI3OQIAAAAENDA1MwQAAAABMAcAAAAKMTIvMzEvMjAyMggAAAAJMy8zMS8yMDIyCQAAAAEw</t>
  </si>
  <si>
    <t>pWAZwN632wgVG6TO3rfbCCtDSVEuTllTRTpDQVQuSVFfRUJJVF9NQVJHSU4uMTAwMC4xMi8zMS8yMDE1AQAAADL1AwACAAAABjkuOTEwNAEIAAAABQAAAAExAQAAAAoxODc0NTI0NDUzAwAAAAMxNjACAAAABDQwNTMEAAAAATAHAAAACjEyLzMxLzIwMTUIAAAACjEyLzMxLzIwMTUJAAAAATClYBnA3rfbCMRVn87et9sIK0NJUS5UU0U6NjMyNi5JUV9FQklUX01BUkdJTi4xMDAwLjEyLzMxLzIwMjABAAAAGVcEAAIAAAAGOS43Njk4AQgAAAAFAAAAATEBAAAACy0yMTA3NzE0MDA4AwAAAAI3OQIAAAAENDA1MwQAAAABMAcAAAAKMTIvMzEvMjAyMAgAAAAKMTIvMzEvMjAyMAkAAAABMKVgGcDet9sICpVP2d632wgpQ0lRLk5ZU0U6Q0FULklRX05JX01BUkdJTi4xMDAwLjEyLzMxLzIwMTgBAAAAMvUDAAIAAAAHMTEuMjMzMQEIAAAABQAAAAExAQAAAAoyMDgwNjQ4MTQzAwAAAAMxNjACAAAABDQwOTQEAAAAATAHAAAACjEyLzMxLzIwMTgIAAAACjEyLzMxLzIwMTgJAAAAATClYBnA3rfbCN/gfMret9sIKUNJUS5OU0VJOk0mTS5JUV9OSV9NQVJHSU4uMTAwMC4xMi8zMS8yMDE3AQAAAEJnDQACAAAABjQuMzc5NQEIAAAABQAAAAExAQAAAAoxODk1NDY1NDM3AwAAAAI3MgIAAAAENDA5NAQAAAABMAcAAAAKMTIvMzEvMjAxNwgAAAAJMy8zMS8yMDE3CQAAAAEwpWAZwN632wgKlU/Z3rfbCDJDSVEuTllTRTpURVgu</t>
  </si>
  <si>
    <t>SVFfR1JPU1NfTUFSR0lOLjEwMDAuMTIvMzEvMjAxOC4uLlVTRAEAAAAOswQAAgAAAAcyMS4yOTQxAQgAAAAFAAAAATEBAAAACjIwNzk5NjUxMjUDAAAAAzE2MAIAAAAENDA3NAQAAAABMAcAAAAKMTIvMzEvMjAxOAgAAAAKMTIvMzEvMjAxOAkAAAABMKVgGcDet9sItJgOxt632wg3Q0lRLk5BU0RBUUNNOlRPUk8uSVFfR1JPU1NfTUFSR0lOLjEwMDAuMTIvMzEvMjAxNC4uLlVTRAEAAAB5ezZsAwAAAAAApWAZwN632wgKlU/Z3rfbCDNDSVEuTllTRTpBR0NPLklRX0dST1NTX01BUkdJTi4xMDAwLjEyLzMxLzIwMTguLi5VU0QBAAAAT9gEAAIAAAAHMjEuMzUwNQEIAAAABQAAAAExAQAAAAoyMDgyNDk3NzEzAwAAAAMxNjACAAAABDQwNzQEAAAAATAHAAAACjEyLzMxLzIwMTgIAAAACjEyLzMxLzIwMTgJAAAAATClYBnA3rfbCAqVT9net9sILUNJUS5OU0VJOk0mTS5JUV9SRVRVUk5fRVFVSVRZLjEwMDAuMTIvMzEvMjAxNQEAAABCZw0AAgAAAAYxMS4xMjUBCAAAAAUAAAABMQEAAAAKMTc5OTI5NjU3MAMAAAACNzICAAAABDQxMjgEAAAAATAHAAAACjEyLzMxLzIwMTUIAAAACTMvMzEvMjAxNQkAAAABMKVgGcDet9sICpVP2d632wgtQ0lRLk5ZU0U6Q0FULklRX1JFVFVSTl9BU1NFVFMuMTAwMC4xMi8zMS8yMDIxAQAAADL1AwACAAAABjYuNDE5MgEIAAAABQAAAAExAQAAAAstMjA2MDg4MTk0MQMAAAADMTYw</t>
  </si>
  <si>
    <t>AgAAAAQ0MTc4BAAAAAEwBwAAAAoxMi8zMS8yMDIxCAAAAAoxMi8zMS8yMDIxCQAAAAEwpWAZwN632whHV17U3rfbCC1DSVEuTlNFSTpNJk0uSVFfUkVUVVJOX0FTU0VUUy4xMDAwLjEyLzMxLzIwMTQBAAAAQmcNAAIAAAAGNi4zNzY3AQgAAAAFAAAAATEBAAAACjE3NDU3Mjg3NjMDAAAAAjcyAgAAAAQ0MTc4BAAAAAEwBwAAAAoxMi8zMS8yMDE0CAAAAAkzLzMxLzIwMTQJAAAAATClYBnA3rfbCAqVT9net9sIM0NJUS5OWVNFOkNBVC5JUV9FQklUREFfTUFSR0lOLjEwMDAuMTIvMzEvMjAxNS4uLlVTRAEAAAAy9QMAAgAAAAcxNi4zODk3AQgAAAAFAAAAATEBAAAACjE4NzQ1MjQ0NTMDAAAAAzE2MAIAAAAENDA0NwQAAAABMAcAAAAKMTIvMzEvMjAxNQgAAAAKMTIvMzEvMjAxNQkAAAABMKVgGcDet9sIUb0G0d632wgzQ0lRLlRTRTo2MzI2LklRX0VCSVREQV9NQVJHSU4uMTAwMC4xMi8zMS8yMDE5Li4uVVNEAQAAABlXBAACAAAABzEyLjk3NzEBCAAAAAUAAAABMQEAAAAKMjA4NTI4ODIwMQMAAAACNzkCAAAABDQwNDcEAAAAATAHAAAACjEyLzMxLzIwMTkIAAAACjEyLzMxLzIwMTkJAAAAATClYBnA3rfbCAqVT9net9sIK0NJUS5UU0U6NjUwMS5JUV9FQklUX01BUkdJTi4xMDAwLjEyLzMxLzIwMjEBAAAAmy0CAAIAAAAGNS42NzI2AQgAAAAFAAAAATEBAAAACy0yMDg4ODIxNjQ5AwAAAAI3OQIAAAAENDA1</t>
  </si>
  <si>
    <t>MwQAAAABMAcAAAAKMTIvMzEvMjAyMQgAAAAJMy8zMS8yMDIxCQAAAAEwpWAZwN632wgVG6TO3rfbCCtDSVEuTllTRTpDQVQuSVFfRUJJVF9NQVJHSU4uMTAwMC4xMi8zMS8yMDE0AQAAADL1AwACAAAABjYuODI0NAEIAAAABQAAAAExAQAAAAoxODI3ODY5MTY1AwAAAAMxNjACAAAABDQwNTMEAAAAATAHAAAACjEyLzMxLzIwMTQIAAAACjEyLzMxLzIwMTQJAAAAATClYBnA3rfbCMRVn87et9sIK0NJUS5UU0U6NjMyNi5JUV9FQklUX01BUkdJTi4xMDAwLjEyLzMxLzIwMTkBAAAAGVcEAAIAAAAHMTAuOTAzMgEIAAAABQAAAAExAQAAAAoyMDg1Mjg4MjAxAwAAAAI3OQIAAAAENDA1MwQAAAABMAcAAAAKMTIvMzEvMjAxOQgAAAAKMTIvMzEvMjAxOQkAAAABMKVgGcDet9sICpVP2d632wgpQ0lRLk5ZU0U6Q0FULklRX05JX01BUkdJTi4xMDAwLjEyLzMxLzIwMTcBAAAAMvUDAAIAAAAGMS42NTg1AQgAAAAFAAAAATEBAAAACjIwMTU4NjkyMTcDAAAAAzE2MAIAAAAENDA5NAQAAAABMAcAAAAKMTIvMzEvMjAxNwgAAAAKMTIvMzEvMjAxNwkAAAABMKVgGcDet9sIhH56yt632wgpQ0lRLk5TRUk6TSZNLklRX05JX01BUkdJTi4xMDAwLjEyLzMxLzIwMTMBAAAAQmcNAAIAAAAGNi4wMzE0AQgAAAAFAAAAATEBAAAACjE2OTAxMDIyNzUDAAAAAjcyAgAAAAQ0MDk0BAAAAAEwBwAAAAoxMi8zMS8yMDEzCAAAAAkzLzMx</t>
  </si>
  <si>
    <t>LzIwMTMJAAAAATClYBnA3rfbCAqVT9net9sIMkNJUS5OWVNFOlRFWC5JUV9HUk9TU19NQVJHSU4uMTAwMC4xMi8zMS8yMDE3Li4uVVNEAQAAAA6zBAACAAAABzIwLjIyNTYBCAAAAAUAAAABMQEAAAAKMjAxNDI3Njk1MgMAAAADMTYwAgAAAAQ0MDc0BAAAAAEwBwAAAAoxMi8zMS8yMDE3CAAAAAoxMi8zMS8yMDE3CQAAAAEwpWAZwN632wi0mA7G3rfbCDdDSVEuTkFTREFRQ006VE9STy5JUV9HUk9TU19NQVJHSU4uMTAwMC4xMi8zMS8yMDEzLi4uVVNEAQAAAHl7NmwDAAAAAAClYBnA3rfbCCM1Tdnet9sIM0NJUS5OWVNFOkFHQ08uSVFfR1JPU1NfTUFSR0lOLjEwMDAuMTIvMzEvMjAxNy4uLlVTRAEAAABP2AQAAgAAAAYyMS4yNTIBCAAAAAUAAAABMQEAAAAKMjAxODM2MDgyMwMAAAADMTYwAgAAAAQ0MDc0BAAAAAEwBwAAAAoxMi8zMS8yMDE3CAAAAAoxMi8zMS8yMDE3CQAAAAEwpWAZwN632wgKlU/Z3rfbCC1DSVEuTllTRTpDQVQuSVFfUkVUVVJOX0VRVUlUWS4xMDAwLjEyLzMxLzIwMjIBAAAAMvUDAAIAAAAHNDEuMzczNwEIAAAABQAAAAExAQAAAAstMjA2MDg4MTkzNwMAAAADMTYwAgAAAAQ0MTI4BAAAAAEwBwAAAAoxMi8zMS8yMDIyCAAAAAoxMi8zMS8yMDIyCQAAAAEwpWAZwN632wgfKjLX3rfbCC1DSVEuTlNFSTpNJk0uSVFfUkVUVVJOX0VRVUlUWS4xMDAwLjEyLzMxLzIwMTMBAAAAQmcNAAIA</t>
  </si>
  <si>
    <t>AAAHMTcuNzY0OAEIAAAABQAAAAExAQAAAAoxNjkwMTAyMjc1AwAAAAI3MgIAAAAENDEyOAQAAAABMAcAAAAKMTIvMzEvMjAxMwgAAAAJMy8zMS8yMDEzCQAAAAEwpWAZwN632wgjNU3Z3rfbCC1DSVEuTllTRTpDQVQuSVFfUkVUVVJOX0FTU0VUUy4xMDAwLjEyLzMxLzIwMjABAAAAMvUDAAIAAAAGMy44NTQ5AQgAAAAFAAAAATEBAAAACy0yMDYwODgxOTM2AwAAAAMxNjACAAAABDQxNzgEAAAAATAHAAAACjEyLzMxLzIwMjAIAAAACjEyLzMxLzIwMjAJAAAAATClYBnA3rfbCNr0W9Tet9sIM0NJUS5OWVNFOkNBVC5JUV9FQklUREFfTUFSR0lOLjEwMDAuMTIvMzEvMjAxNC4uLlVTRAEAAAAy9QMAAgAAAAcxMi41NTYxAQgAAAAFAAAAATEBAAAACjE4Mjc4NjkxNjUDAAAAAzE2MAIAAAAENDA0NwQAAAABMAcAAAAKMTIvMzEvMjAxNAgAAAAKMTIvMzEvMjAxNAkAAAABMKVgGcDet9sIUb0G0d632wgzQ0lRLlRTRTo2MzI2LklRX0VCSVREQV9NQVJHSU4uMTAwMC4xMi8zMS8yMDE3Li4uVVNEAQAAABlXBAACAAAABzEzLjk5NDgBCAAAAAUAAAABMQEAAAAKMTg3OTU5NDk0MgMAAAACNzkCAAAABDQwNDcEAAAAATAHAAAACjEyLzMxLzIwMTcIAAAACjEyLzMxLzIwMTcJAAAAATClYBnA3rfbCAqVT9net9sIK0NJUS5UU0U6NjUwMS5JUV9FQklUX01BUkdJTi4xMDAwLjEyLzMxLzIwMjABAAAAmy0CAAIAAAAGNy41</t>
  </si>
  <si>
    <t>NDk0AQgAAAAFAAAAATEBAAAACy0yMTIwNTU3NDg2AwAAAAI3OQIAAAAENDA1MwQAAAABMAcAAAAKMTIvMzEvMjAyMAgAAAAJMy8zMS8yMDIwCQAAAAEwpWAZwN632wgVG6TO3rfbCCtDSVEuTllTRTpDQVQuSVFfRUJJVF9NQVJHSU4uMTAwMC4xMi8zMS8yMDEzAQAAADL1AwACAAAABzEwLjQzOTEBCAAAAAUAAAABMQEAAAAKMTc3NjQ0MjEwMgMAAAADMTYwAgAAAAQ0MDUzBAAAAAEwBwAAAAoxMi8zMS8yMDEzCAAAAAoxMi8zMS8yMDEzCQAAAAEwpWAZwN632wjEVZ/O3rfbCCtDSVEuVFNFOjYzMjYuSVFfRUJJVF9NQVJHSU4uMTAwMC4xMi8zMS8yMDE3AQAAABlXBAACAAAABzExLjQwODcBCAAAAAUAAAABMQEAAAAKMTg3OTU5NDk0MgMAAAACNzkCAAAABDQwNTMEAAAAATAHAAAACjEyLzMxLzIwMTcIAAAACjEyLzMxLzIwMTcJAAAAATClYBnA3rfbCAqVT9net9sIKUNJUS5UU0U6NjUwMS5JUV9OSV9NQVJHSU4uMTAwMC4xMi8zMS8yMDIyAQAAAJstAgACAAAABjUuNjg0MgEIAAAABQAAAAExAQAAAAstMjA4ODgyMTY3MQMAAAACNzkCAAAABDQwOTQEAAAAATAHAAAACjEyLzMxLzIwMjIIAAAACTMvMzEvMjAyMgkAAAABMKVgGcDet9sIREN/yt632wgpQ0lRLk5ZU0U6Q0FULklRX05JX01BUkdJTi4xMDAwLjEyLzMwLzIwMTYBAAAAMvUDAAIAAAAGNS4zNDM0AQgAAAAFAAAAATEBAAAACjE4NzQ1MjQ0NTMD</t>
  </si>
  <si>
    <t>AAAAAzE2MAIAAAAENDA5NAQAAAABMAcAAAAKMTIvMzAvMjAxNggAAAAKMTIvMzEvMjAxNQkAAAABMKVgGcDet9sIhH56yt632wgpQ0lRLlRTRTo2MzI2LklRX05JX01BUkdJTi4xMDAwLjEyLzMxLzIwMjIBAAAAGVcEAAIAAAAGNS44MzAzAQgAAAAFAAAAATEBAAAACy0yMDU1NjE2NDM0AwAAAAI3OQIAAAAENDA5NAQAAAABMAcAAAAKMTIvMzEvMjAyMggAAAAKMTIvMzEvMjAyMgkAAAABMKVgGcDet9sILx9S2d632wgyQ0lRLk5ZU0U6VEVYLklRX0dST1NTX01BUkdJTi4xMDAwLjEyLzMwLzIwMTYuLi5VU0QBAAAADrMEAAIAAAAGMTkuMzQ2AQgAAAAFAAAAATEBAAAACjE4NzQ4MzI2NjMDAAAAAzE2MAIAAAAENDA3NAQAAAABMAcAAAAKMTIvMzAvMjAxNggAAAAKMTIvMzEvMjAxNQkAAAABMKVgGcDet9sItJgOxt632wgyQ0lRLk5TRUk6TSZNLklRX0dST1NTX01BUkdJTi4xMDAwLjEyLzMxLzIwMjIuLi5VU0QBAAAAQmcNAAIAAAAHNDIuMzMyOAEIAAAABQAAAAExAQAAAAstMjAzOTA4Mjc4NAMAAAACNzICAAAABDQwNzQEAAAAATAHAAAACjEyLzMxLzIwMjIIAAAACTMvMzEvMjAyMgkAAAABMKVgGcDet9sILx9S2d632wgtQ0lRLk5ZU0U6Q0FULklRX1JFVFVSTl9FUVVJVFkuMTAwMC4xMi8zMS8yMDIxAQAAADL1AwACAAAABzQwLjcxNjEBCAAAAAUAAAABMQEAAAALLTIwNjA4ODE5NDEDAAAAAzE2MAIA</t>
  </si>
  <si>
    <t>AAAENDEyOAQAAAABMAcAAAAKMTIvMzEvMjAyMQgAAAAKMTIvMzEvMjAyMQkAAAABMKVgGcDet9sIHyoy19632wgtQ0lRLk5ZU0U6Q0FULklRX1JFVFVSTl9BU1NFVFMuMTAwMC4xMi8zMS8yMDE5AQAAADL1AwACAAAABjYuNDYwOQEIAAAABQAAAAExAQAAAAstMjExMjE1NzE1OQMAAAADMTYwAgAAAAQ0MTc4BAAAAAEwBwAAAAoxMi8zMS8yMDE5CAAAAAoxMi8zMS8yMDE5CQAAAAEwpWAZwN632wja9FvU3rfbCC1DSVEuVFNFOjYzMjYuSVFfUkVUVVJOX0FTU0VUUy4xMDAwLjEyLzMxLzIwMjIBAAAAGVcEAAIAAAAFMy4xMjMBCAAAAAUAAAABMQEAAAALLTIwNTU2MTY0MzQDAAAAAjc5AgAAAAQ0MTc4BAAAAAEwBwAAAAoxMi8zMS8yMDIyCAAAAAoxMi8zMS8yMDIyCQAAAAEwpWAZwN632wgvH1LZ3rfbCDNDSVEuTllTRTpDQVQuSVFfRUJJVERBX01BUkdJTi4xMDAwLjEyLzMxLzIwMTMuLi5VU0QBAAAAMvUDAAIAAAAHMTUuOTg1NgEIAAAABQAAAAExAQAAAAoxNzc2NDQyMTAyAwAAAAMxNjACAAAABDQwNDcEAAAAATAHAAAACjEyLzMxLzIwMTMIAAAACjEyLzMxLzIwMTMJAAAAATClYBnA3rfbCFG9BtHet9sIM0NJUS5UU0U6NjMyNi5JUV9FQklUREFfTUFSR0lOLjEwMDAuMTIvMzAvMjAxNi4uLlVTRAEAAAAZVwQAAgAAAAcxNS45NDgyAQgAAAAFAAAAATEBAAAACjE4Nzk1OTQ5NDgDAAAAAjc5AgAAAAQ0</t>
  </si>
  <si>
    <t>MDQ3BAAAAAEwBwAAAAoxMi8zMC8yMDE2CAAAAAoxMi8zMS8yMDE1CQAAAAEwpWAZwN632wgKlU/Z3rfbCCtDSVEuVFNFOjY1MDEuSVFfRUJJVF9NQVJHSU4uMTAwMC4xMi8zMS8yMDE5AQAAAJstAgACAAAABjcuOTYzMwEIAAAABQAAAAExAQAAAAoyMDYyOTM4MDIzAwAAAAI3OQIAAAAENDA1MwQAAAABMAcAAAAKMTIvMzEvMjAxOQgAAAAJMy8zMS8yMDE5CQAAAAEwpWAZwN632wgVG6TO3rfbCCtDSVEuVFNFOjYzMjYuSVFfRUJJVF9NQVJHSU4uMTAwMC4xMi8zMC8yMDE2AQAAABlXBAACAAAABzEzLjQ5NzYBCAAAAAUAAAABMQEAAAAKMTg3OTU5NDk0OAMAAAACNzkCAAAABDQwNTMEAAAAATAHAAAACjEyLzMwLzIwMTYIAAAACjEyLzMxLzIwMTUJAAAAATClYBnA3rfbCAqVT9net9sIKUNJUS5OWVNFOkNBVC5JUV9OSV9NQVJHSU4uMTAwMC4xMi8zMS8yMDE1AQAAADL1AwACAAAABjUuMzQzNAEIAAAABQAAAAExAQAAAAoxODc0NTI0NDUzAwAAAAMxNjACAAAABDQwOTQEAAAAATAHAAAACjEyLzMxLzIwMTUIAAAACjEyLzMxLzIwMTUJAAAAATClYBnA3rfbCC4ceMret9sILUNJUS5UU0U6NjMyNi5JUV9SRVRVUk5fRVFVSVRZLjEwMDAuMTIvMzEvMjAyMgEAAAAZVwQAAgAAAAY5LjEzNTQBCAAAAAUAAAABMQEAAAALLTIwNTU2MTY0MzQDAAAAAjc5AgAAAAQ0MTI4BAAAAAEwBwAAAAoxMi8zMS8yMDIyCAAA</t>
  </si>
  <si>
    <t>AAoxMi8zMS8yMDIyCQAAAAEwpWAZwN632wgvH1LZ3rfbCCFDSVEuVFNFOjY1MDEuSVFfRUJJVF9NQVJHSU4uMTAwMC4BAAAAmy0CAAIAAAAGOC42NTk1AQgAAAAFAAAAATEBAAAACy0yMDM5OTM2NzA5AwAAAAI3OQIAAAAENDA1MwQAAAABMAcAAAAJOS8xOC8yMDIzCAAAAAkzLzMxLzIwMjMJAAAAATDHf97F3rfbCC4ceMret9sIIUNJUS5UU0U6NjMyNi5JUV9FQklUX01BUkdJTi4xMDAwLgEAAAAZVwQAAgAAAAY3LjkzMjIBCAAAAAUAAAABMQEAAAALLTIwNTU2MTY0MzQDAAAAAjc5AgAAAAQ0MDUzBAAAAAEwBwAAAAk5LzE4LzIwMjMIAAAACjEyLzMxLzIwMjIJAAAAATDHf97F3rfbCC4ceMret9sII0NJUS5UU0U6NjMyNi5JUV9SRVRVUk5fRVFVSVRZLjEwMDAuAQAAABlXBAACAAAABjkuMTM1NAEIAAAABQAAAAExAQAAAAstMjA1NTYxNjQzNAMAAAACNzkCAAAABDQxMjgEAAAAATAHAAAACTkvMTgvMjAyMwgAAAAKMTIvMzEvMjAyMgkAAAABMMd/3sXet9sILhx4yt632wgjQ0lRLk5ZU0U6Q0FULklRX1JFVFVSTl9BU1NFVFMuMTAwMC4BAAAAMvUDAAIAAAAGNy40MDI3AQgAAAAFAAAAATEBAAAACy0yMDYwODgxOTM3AwAAAAMxNjACAAAABDQxNzgEAAAAATAHAAAACTkvMTgvMjAyMwgAAAAKMTIvMzEvMjAyMgkAAAABMMd/3sXet9sILhx4yt632wgjQ0lRLlRTRTo2MzI2LklRX1JFVFVSTl9BU1NFVFMu</t>
  </si>
  <si>
    <t>MTAwMC4BAAAAGVcEAAIAAAAFMy4xMjMBCAAAAAUAAAABMQEAAAALLTIwNTU2MTY0MzQDAAAAAjc5AgAAAAQ0MTc4BAAAAAEwBwAAAAk5LzE4LzIwMjMIAAAACjEyLzMxLzIwMjIJAAAAATDHf97F3rfbCC4ceMret9sIKUNJUS5UU0U6NjMyNi5JUV9FQklUREFfTUFSR0lOLjEwMDAuLi4uVVNEAQAAABlXBAACAAAABzExLjExMzMBCAAAAAUAAAABMQEAAAALLTIwNTU2MTY0MzQDAAAAAjc5AgAAAAQ0MDQ3BAAAAAEwBwAAAAk5LzE4LzIwMjMIAAAACjEyLzMxLzIwMjIJAAAAATDHf97F3rfbCC4ceMret9sIJ0NJUS5OWVNFOkRFLklRX0dST1NTX01BUkdJTi4xMDAwLi4uLlVTRAEAAACADwQAAgAAAAcyNy41NTkzAQgAAAAFAAAAATEBAAAACy0yMDY1Mzg4NDY4AwAAAAMxNjACAAAABDQwNzQEAAAAATAHAAAACTkvMTgvMjAyMwgAAAAKMTAvMzAvMjAyMgkAAAABMMd/3sXet9sILhx4yt632wgoQ0lRLk5ZU0U6VEVYLklRX0dST1NTX01BUkdJTi4xMDAwLi4uLlVTRAEAAAAOswQAAgAAAAcxOS43MjA2AQgAAAAFAAAAATEBAAAACy0yMDYxNjMxNjM5AwAAAAMxNjACAAAABDQwNzQEAAAAATAHAAAACTkvMTgvMjAyMwgAAAAKMTIvMzEvMjAyMgkAAAABMMd/3sXet9sIx3/exd632wgoQ0lRLk5TRUk6TSZNLklRX0dST1NTX01BUkdJTi4xMDAwLi4uLlVTRAEAAABCZw0AAgAAAAczOC44Nzk5AQgAAAAFAAAAATEB</t>
  </si>
  <si>
    <t>AAAACy0yMDM5MDgyNzgyAwAAAAI3MgIAAAAENDA3NAQAAAABMAcAAAAJOS8xOC8yMDIzCAAAAAkzLzMxLzIwMjMJAAAAATDHf97F3rfbCC4ceMret9sII0NJUS5OWVNFOkNBVC5JUV9SRVRVUk5fRVFVSVRZLjEwMDAuAQAAADL1AwACAAAABzQxLjM3MzcBCAAAAAUAAAABMQEAAAALLTIwNjA4ODE5MzcDAAAAAzE2MAIAAAAENDEyOAQAAAABMAcAAAAJOS8xOC8yMDIzCAAAAAoxMi8zMS8yMDIyCQAAAAEwx3/exd632wguHHjK3rfbCCJDSVEuTllTRTpERS5JUV9SRVRVUk5fQVNTRVRTLjEwMDAuAQAAAIAPBAACAAAABjcuMDcyNAEIAAAABQAAAAExAQAAAAstMjA2NTM4ODQ2OAMAAAADMTYwAgAAAAQ0MTc4BAAAAAEwBwAAAAk5LzE4LzIwMjMIAAAACjEwLzMwLzIwMjIJAAAAATDHf97F3rfbCC4ceMret9sIH0NJUS5UU0U6NjUwMS5JUV9OSV9NQVJHSU4uMTAwMC4BAAAAmy0CAAIAAAAGNS45NjU1AQgAAAAFAAAAATEBAAAACy0yMDM5OTM2NzA5AwAAAAI3OQIAAAAENDA5NAQAAAABMAcAAAAJOS8xOC8yMDIzCAAAAAkzLzMxLzIwMjMJAAAAATDHf97F3rfbCC4ceMret9sIH0NJUS5OWVNFOkNBVC5JUV9OSV9NQVJHSU4uMTAwMC4BAAAAMvUDAAIAAAAHMTEuMjgyNwEIAAAABQAAAAExAQAAAAstMjA2MDg4MTkzNwMAAAADMTYwAgAAAAQ0MDk0BAAAAAEwBwAAAAk5LzE4LzIwMjMIAAAACjEyLzMxLzIwMjIJ</t>
  </si>
  <si>
    <t>AAAAATDHf97F3rfbCC4ceMret9sIH0NJUS5UU0U6NjMyNi5JUV9OSV9NQVJHSU4uMTAwMC4BAAAAGVcEAAIAAAAGNS44MzAzAQgAAAAFAAAAATEBAAAACy0yMDU1NjE2NDM0AwAAAAI3OQIAAAAENDA5NAQAAAABMAcAAAAJOS8xOC8yMDIzCAAAAAoxMi8zMS8yMDIyCQAAAAEwx3/exd632wguHHjK3rfbCChDSVEuTllTRTpERS5JUV9FQklUREFfTUFSR0lOLjEwMDAuLi4uVVNEAQAAAIAPBAACAAAABzIwLjU1NDMBCAAAAAUAAAABMQEAAAALLTIwNjUzODg0NjgDAAAAAzE2MAIAAAAENDA0NwQAAAABMAcAAAAJOS8xOC8yMDIzCAAAAAoxMC8zMC8yMDIyCQAAAAEwx3/exd632wguHHjK3rfbCClDSVEuTllTRTpBR0NPLklRX0dST1NTX01BUkdJTi4xMDAwLi4uLlVTRAEAAABP2AQAAgAAAAYyMy43MjMBCAAAAAUAAAABMQEAAAALLTIwNTkwMTI2MDcDAAAAAzE2MAIAAAAENDA3NAQAAAABMAcAAAAJOS8xOC8yMDIzCAAAAAoxMi8zMS8yMDIyCQAAAAEwx3/exd632wguHHjK3rfbCB9DSVEuTlNFSTpNJk0uSVFfTklfTUFSR0lOLjEwMDAuAQAAAEJnDQACAAAABTguNDEyAQgAAAAFAAAAATEBAAAACy0yMDM5MDgyNzgyAwAAAAI3MgIAAAAENDA5NAQAAAABMAcAAAAJOS8xOC8yMDIzCAAAAAkzLzMxLzIwMjMJAAAAATDHf97F3rfbCC4ceMret9sIKUNJUS5OWVNFOkNBVC5JUV9FQklUREFfTUFSR0lOLjEwMDAu</t>
  </si>
  <si>
    <t>Li4uVVNEAQAAADL1AwACAAAABzIwLjAxNjEBCAAAAAUAAAABMQEAAAALLTIwNjA4ODE5MzcDAAAAAzE2MAIAAAAENDA0NwQAAAABMAcAAAAJOS8xOC8yMDIzCAAAAAoxMi8zMS8yMDIyCQAAAAEwx3/exd632wguHHjK3rfbCCNDSVEuTlNFSTpNJk0uSVFfUkVUVVJOX0VRVUlUWS4xMDAwLgEAAABCZw0AAgAAAAcxOC4zNTk2AQgAAAAFAAAAATEBAAAACy0yMDM5MDgyNzgyAwAAAAI3MgIAAAAENDEyOAQAAAABMAcAAAAJOS8xOC8yMDIzCAAAAAkzLzMxLzIwMjMJAAAAATDHf97F3rfbCC4ceMret9sIIENJUS5OWVNFOkRFLklRX0VCSVRfTUFSR0lOLjEwMDAuAQAAAIAPBAACAAAABzE4Ljc0NTEBCAAAAAUAAAABMQEAAAALLTIwNjUzODg0NjgDAAAAAzE2MAIAAAAENDA1MwQAAAABMAcAAAAJOS8xOC8yMDIzCAAAAAoxMC8zMC8yMDIyCQAAAAEwx3/exd632wguHHjK3rfbCCFDSVEuTllTRTpDQVQuSVFfRUJJVF9NQVJHSU4uMTAwMC4BAAAAMvUDAAIAAAAHMTYuNDE2NwEIAAAABQAAAAExAQAAAAstMjA2MDg4MTkzNwMAAAADMTYwAgAAAAQ0MDUzBAAAAAEwBwAAAAk5LzE4LzIwMjMIAAAACjEyLzMxLzIwMjIJAAAAATDHf97F3rfbCC4ceMret9sII0NJUS5OU0VJOk0mTS5JUV9SRVRVUk5fQVNTRVRTLjEwMDAuAQAAAEJnDQACAAAABjUuNTYyOAEIAAAABQAAAAExAQAAAAstMjAzOTA4Mjc4MgMAAAACNzIC</t>
  </si>
  <si>
    <t>AAAABDQxNzgEAAAAATAHAAAACTkvMTgvMjAyMwgAAAAJMy8zMS8yMDIzCQAAAAEwx3/exd632wguHHjK3rfbCB9DSVEuTllTRTpURVguSVFfTklfTUFSR0lOLjEwMDAuAQAAAA6zBAACAAAABjYuNzkwOAEIAAAABQAAAAExAQAAAAstMjA2MTYzMTYzOQMAAAADMTYwAgAAAAQ0MDk0BAAAAAEwBwAAAAk5LzE4LzIwMjMIAAAACjEyLzMxLzIwMjIJAAAAATDHf97F3rfbCC4ceMret9sIKUNJUS5OWVNFOkNOSEkuSVFfR1JPU1NfTUFSR0lOLjEwMDAuLi4uVVNEAQAAAE5iGQYCAAAABzIyLjI3OTMBCAAAAAUAAAABMQEAAAALLTIwNTkwMTI1ODQDAAAAAzE2MAIAAAAENDA3NAQAAAABMAcAAAAJOS8xOC8yMDIzCAAAAAoxMi8zMS8yMDIyCQAAAAEwx3/exd632wguHHjK3rfbCC1DSVEuTkFTREFRQ006VE9STy5JUV9HUk9TU19NQVJHSU4uMTAwMC4uLi5VU0QBAAAAeXs2bAIAAAAHNTQuNjk5NAEIAAAABQAAAAExAQAAAAstMjAzMzM0NjkwMAMAAAADMTYwAgAAAAQ0MDc0BAAAAAEwBwAAAAk5LzE4LzIwMjMIAAAACjEyLzMxLzIwMjIJAAAAATDHf97F3rfbCC4ceMret9sIHkNJUS5OWVNFOkRFLklRX05JX01BUkdJTi4xMDAwLgEAAACADwQAAgAAAAcxMy41NjY1AQgAAAAFAAAAATEBAAAACy0yMDY1Mzg4NDY4AwAAAAMxNjACAAAABDQwOTQEAAAAATAHAAAACTkvMTgvMjAyMwgAAAAKMTAvMzAvMjAyMgkAAAAB</t>
  </si>
  <si>
    <t>MMd/3sXet9sILhx4yt632wgiQ0lRLlNIU0U6NjAwMDMxLklRX05JX01BUkdJTi4xMDAwLgEAAAAvUFkAAgAAAAY1LjI4NjYBCAAAAAUAAAABMQEAAAALLTIwNTI1NTk0NzQDAAAAAjMyAgAAAAQ0MDk0BAAAAAEwBwAAAAk5LzE4LzIwMjMIAAAACjEyLzMxLzIwMjIJAAAAATDHf97F3rfbCC4ceMret9sIJENJUS5OWVNFOkNOSEkuSVFfUkVUVVJOX0VRVUlUWS4xMDAwLgEAAABOYhkGAgAAAAcyOS40ODg3AQgAAAAFAAAAATEBAAAACy0yMDU5MDEyNTg0AwAAAAMxNjACAAAABDQxMjgEAAAAATAHAAAACTkvMTgvMjAyMwgAAAAKMTIvMzEvMjAyMgkAAAABMMd/3sXet9sILhx4yt632wgpQ0lRLk5ZU0U6VEVYLklRX0VCSVREQV9NQVJHSU4uMTAwMC4uLi5VU0QBAAAADrMEAAIAAAAHMTAuNTc3OQEIAAAABQAAAAExAQAAAAstMjA2MTYzMTYzOQMAAAADMTYwAgAAAAQ0MDQ3BAAAAAEwBwAAAAk5LzE4LzIwMjMIAAAACjEyLzMxLzIwMjIJAAAAATDHf97F3rfbCC4ceMret9sIKENJUS5OWVNFOkNBVC5JUV9HUk9TU19NQVJHSU4uMTAwMC4uLi5VU0QBAAAAMvUDAAIAAAAHMjYuMTkxNwEIAAAABQAAAAExAQAAAAstMjA2MDg4MTkzNwMAAAADMTYwAgAAAAQ0MDc0BAAAAAEwBwAAAAk5LzE4LzIwMjMIAAAACjEyLzMxLzIwMjIJAAAAATDHf97F3rfbCMd/3sXet9sII0NJUS5UU0U6NjUwMS5JUV9SRVRVUk5fQVNT</t>
  </si>
  <si>
    <t>RVRTLjEwMDAuAQAAAJstAgACAAAABjQuNDYzMwEIAAAABQAAAAExAQAAAAstMjAzOTkzNjcwOQMAAAACNzkCAAAABDQxNzgEAAAAATAHAAAACTkvMTgvMjAyMwgAAAAJMy8zMS8yMDIzCQAAAAEwx3/exd632wguHHjK3rfbCCRDSVEuU0hTRTo2MDAwMzEuSVFfRUJJVF9NQVJHSU4uMTAwMC4BAAAAL1BZAAIAAAAGNS41MjM1AQgAAAAFAAAAATEBAAAACy0yMDUyNTU5NDc0AwAAAAIzMgIAAAAENDA1MwQAAAABMAcAAAAJOS8xOC8yMDIzCAAAAAoxMi8zMS8yMDIyCQAAAAEwx3/exd632wguHHjK3rfbCCJDSVEuTllTRTpDTkhJLklRX0VCSVRfTUFSR0lOLjEwMDAuAQAAAE5iGQYCAAAABzEyLjI5NjcBCAAAAAUAAAABMQEAAAALLTIwNTkwMTI1ODQDAAAAAzE2MAIAAAAENDA1MwQAAAABMAcAAAAJOS8xOC8yMDIzCAAAAAoxMi8zMS8yMDIyCQAAAAEwx3/exd632wguHHjK3rfbCChDSVEuVFNFOjY1MDEuSVFfR1JPU1NfTUFSR0lOLjEwMDAuLi4uVVNEAQAAAJstAgACAAAABzI0LjcxMzIBCAAAAAUAAAABMQEAAAALLTIwMzk5MzY3MDkDAAAAAjc5AgAAAAQ0MDc0BAAAAAEwBwAAAAk5LzE4LzIwMjMIAAAACTMvMzEvMjAyMwkAAAABMMd/3sXet9sIx3/exd632wghQ0lRLk5TRUk6TSZNLklRX0VCSVRfTUFSR0lOLjEwMDAuAQAAAEJnDQACAAAABzEzLjgzNjQBCAAAAAUAAAABMQEAAAALLTIwMzkwODI3ODID</t>
  </si>
  <si>
    <t>AAAAAjcyAgAAAAQ0MDUzBAAAAAEwBwAAAAk5LzE4LzIwMjMIAAAACTMvMzEvMjAyMwkAAAABMMd/3sXet9sILhx4yt632wggQ0lRLk5ZU0U6QUdDTy5JUV9OSV9NQVJHSU4uMTAwMC4BAAAAT9gEAAIAAAAGNy4wMzE2AQgAAAAFAAAAATEBAAAACy0yMDU5MDEyNjA3AwAAAAMxNjACAAAABDQwOTQEAAAAATAHAAAACTkvMTgvMjAyMwgAAAAKMTIvMzEvMjAyMgkAAAABMMd/3sXet9sILhx4yt632wgpQ0lRLk5TRUk6TSZNLklRX0VCSVREQV9NQVJHSU4uMTAwMC4uLi5VU0QBAAAAQmcNAAIAAAAHMTUuODYxMwEIAAAABQAAAAExAQAAAAstMjAzOTA4Mjc4MgMAAAACNzICAAAABDQwNDcEAAAAATAHAAAACTkvMTgvMjAyMwgAAAAJMy8zMS8yMDIzCQAAAAEwx3/exd632wguHHjK3rfbCCFDSVEuTllTRTpURVguSVFfRUJJVF9NQVJHSU4uMTAwMC4BAAAADrMEAAIAAAAGOS41MDk0AQgAAAAFAAAAATEBAAAACy0yMDYxNjMxNjM5AwAAAAMxNjACAAAABDQwNTMEAAAAATAHAAAACTkvMTgvMjAyMwgAAAAKMTIvMzEvMjAyMgkAAAABMMd/3sXet9sILhx4yt632wgoQ0lRLk5BU0RBUUNNOlRPUk8uSVFfUkVUVVJOX0VRVUlUWS4xMDAwLgEAAAB5ezZsAgAAAAc0MC44MzQ5AQgAAAAFAAAAATEBAAAACy0yMDMzMzQ2OTAwAwAAAAMxNjACAAAABDQxMjgEAAAAATAHAAAACTkvMTgvMjAyMwgAAAAKMTIvMzEvMjAyMgkA</t>
  </si>
  <si>
    <t>AAABMMd/3sXet9sILhx4yt632wgkQ0lRLk5ZU0U6Q05ISS5JUV9SRVRVUk5fQVNTRVRTLjEwMDAuAQAAAE5iGQYCAAAABjQuMDc2NwEIAAAABQAAAAExAQAAAAstMjA1OTAxMjU4NAMAAAADMTYwAgAAAAQ0MTc4BAAAAAEwBwAAAAk5LzE4LzIwMjMIAAAACjEyLzMxLzIwMjIJAAAAATDHf97F3rfbCC4ceMret9sIKENJUS5OQVNEQVFDTTpUT1JPLklRX1JFVFVSTl9BU1NFVFMuMTAwMC4BAAAAeXs2bAIAAAAHMjEuNDc2NwEIAAAABQAAAAExAQAAAAstMjAzMzM0NjkwMAMAAAADMTYwAgAAAAQ0MTc4BAAAAAEwBwAAAAk5LzE4LzIwMjMIAAAACjEyLzMxLzIwMjIJAAAAATDHf97F3rfbCC4ceMret9sIIkNJUS5OWVNFOkRFLklRX1JFVFVSTl9FUVVJVFkuMTAwMC4BAAAAgA8EAAIAAAAHMzYuNzYxMQEIAAAABQAAAAExAQAAAAstMjA2NTM4ODQ2OAMAAAADMTYwAgAAAAQ0MTI4BAAAAAEwBwAAAAk5LzE4LzIwMjMIAAAACjEwLzMwLzIwMjIJAAAAATDHf97F3rfbCC4ceMret9sILkNJUS5OQVNEQVFDTTpUT1JPLklRX0VCSVREQV9NQVJHSU4uMTAwMC4uLi5VU0QBAAAAeXs2bAIAAAAHNDkuMTAxMQEIAAAABQAAAAExAQAAAAstMjAzMzM0NjkwMAMAAAADMTYwAgAAAAQ0MDQ3BAAAAAEwBwAAAAk5LzE4LzIwMjMIAAAACjEyLzMxLzIwMjIJAAAAATDHf97F3rfbCC4ceMret9sIJkNJUS5OQVNEQVFDTTpUT1JP</t>
  </si>
  <si>
    <t>LklRX0VCSVRfTUFSR0lOLjEwMDAuAQAAAHl7NmwCAAAABzQzLjIzMTYBCAAAAAUAAAABMQEAAAALLTIwMzMzNDY5MDADAAAAAzE2MAIAAAAENDA1MwQAAAABMAcAAAAJOS8xOC8yMDIzCAAAAAoxMi8zMS8yMDIyCQAAAAEwx3/exd632wguHHjK3rfbCCBDSVEuTllTRTpDTkhJLklRX05JX01BUkdJTi4xMDAwLgEAAABOYhkGAgAAAAY4LjYxNTMBCAAAAAUAAAABMQEAAAALLTIwNTkwMTI1ODQDAAAAAzE2MAIAAAAENDA5NAQAAAABMAcAAAAJOS8xOC8yMDIzCAAAAAoxMi8zMS8yMDIyCQAAAAEwx3/exd632wguHHjK3rfbCCRDSVEuTllTRTpBR0NPLklRX1JFVFVSTl9FUVVJVFkuMTAwMC4BAAAAT9gEAAIAAAAGMjMuODc4AQgAAAAFAAAAATEBAAAACy0yMDU5MDEyNjA3AwAAAAMxNjACAAAABDQxMjgEAAAAATAHAAAACTkvMTgvMjAyMwgAAAAKMTIvMzEvMjAyMgkAAAABMMd/3sXet9sILhx4yt632wgqQ0lRLk5ZU0U6Q05ISS5JUV9FQklUREFfTUFSR0lOLjEwMDAuLi4uVVNEAQAAAE5iGQYCAAAABzEzLjY4OTQBCAAAAAUAAAABMQEAAAALLTIwNTkwMTI1ODQDAAAAAzE2MAIAAAAENDA0NwQAAAABMAcAAAAJOS8xOC8yMDIzCAAAAAoxMi8zMS8yMDIyCQAAAAEwx3/exd632wguHHjK3rfbCCtDSVEuU0hTRTo2MDAwMzEuSVFfR1JPU1NfTUFSR0lOLjEwMDAuLi4uVVNEAQAAAC9QWQACAAAABzI0LjU5MDgB</t>
  </si>
  <si>
    <t>CAAAAAUAAAABMQEAAAALLTIwNTI1NTk0NzQDAAAAAjMyAgAAAAQ0MDc0BAAAAAEwBwAAAAk5LzE4LzIwMjMIAAAACjEyLzMxLzIwMjIJAAAAATDHf97F3rfbCMd/3sXet9sIJkNJUS5TSFNFOjYwMDAzMS5JUV9SRVRVUk5fRVFVSVRZLjEwMDAuAQAAAC9QWQACAAAABjYuNzE5MgEIAAAABQAAAAExAQAAAAstMjA1MjU1OTQ3NAMAAAACMzICAAAABDQxMjgEAAAAATAHAAAACTkvMTgvMjAyMwgAAAAKMTIvMzEvMjAyMgkAAAABMMd/3sXet9sILhx4yt632wgkQ0lRLk5ZU0U6QUdDTy5JUV9SRVRVUk5fQVNTRVRTLjEwMDAuAQAAAE/YBAACAAAABjguNDI3MQEIAAAABQAAAAExAQAAAAstMjA1OTAxMjYwNwMAAAADMTYwAgAAAAQ0MTc4BAAAAAEwBwAAAAk5LzE4LzIwMjMIAAAACjEyLzMxLzIwMjIJAAAAATDHf97F3rfbCC4ceMret9sIIkNJUS5OWVNFOkFHQ08uSVFfRUJJVF9NQVJHSU4uMTAwMC4BAAAAT9gEAAIAAAAHMTAuMjc3MQEIAAAABQAAAAExAQAAAAstMjA1OTAxMjYwNwMAAAADMTYwAgAAAAQ0MDUzBAAAAAEwBwAAAAk5LzE4LzIwMjMIAAAACjEyLzMxLzIwMjIJAAAAATDHf97F3rfbCC4ceMret9sIJkNJUS5TSFNFOjYwMDAzMS5JUV9SRVRVUk5fQVNTRVRTLjEwMDAuAQAAAC9QWQACAAAABjEuODc2OQEIAAAABQAAAAExAQAAAAstMjA1MjU1OTQ3NAMAAAACMzICAAAABDQxNzgEAAAAATAHAAAA</t>
  </si>
  <si>
    <t>CTkvMTgvMjAyMwgAAAAKMTIvMzEvMjAyMgkAAAABMMd/3sXet9sILhx4yt632wgqQ0lRLk5ZU0U6QUdDTy5JUV9FQklUREFfTUFSR0lOLjEwMDAuLi4uVVNEAQAAAE/YBAACAAAABzEyLjQwODEBCAAAAAUAAAABMQEAAAALLTIwNTkwMTI2MDcDAAAAAzE2MAIAAAAENDA0NwQAAAABMAcAAAAJOS8xOC8yMDIzCAAAAAoxMi8zMS8yMDIyCQAAAAEwx3/exd632wguHHjK3rfbCChDSVEuVFNFOjYzMjYuSVFfR1JPU1NfTUFSR0lOLjEwMDAuLi4uVVNEAQAAABlXBAACAAAABzI2LjAwMTYBCAAAAAUAAAABMQEAAAALLTIwNTU2MTY0MzQDAAAAAjc5AgAAAAQ0MDc0BAAAAAEwBwAAAAk5LzE4LzIwMjMIAAAACjEyLzMxLzIwMjIJAAAAATDHf97F3rfbCC4ceMret9sILENJUS5TSFNFOjYwMDAzMS5JUV9FQklUREFfTUFSR0lOLjEwMDAuLi4uVVNEAQAAAC9QWQACAAAABjguMTc4NwEIAAAABQAAAAExAQAAAAstMjA1MjU1OTQ3NAMAAAACMzICAAAABDQwNDcEAAAAATAHAAAACTkvMTgvMjAyMwgAAAAKMTIvMzEvMjAyMgkAAAABMMd/3sXet9sILhx4yt632wgjQ0lRLlRTRTo2NTAxLklRX1JFVFVSTl9FUVVJVFkuMTAwMC4BAAAAmy0CAAIAAAAHMTMuMTY3NwEIAAAABQAAAAExAQAAAAstMjAzOTkzNjcwOQMAAAACNzkCAAAABDQxMjgEAAAAATAHAAAACTkvMTgvMjAyMwgAAAAJMy8zMS8yMDIzCQAAAAEwx3/exd63</t>
  </si>
  <si>
    <t>2wguHHjK3rfbCClDSVEuVFNFOjY1MDEuSVFfRUJJVERBX01BUkdJTi4xMDAwLi4uLlVTRAEAAACbLQIAAgAAAAcxMy40OTY0AQgAAAAFAAAAATEBAAAACy0yMDM5OTM2NzA5AwAAAAI3OQIAAAAENDA0NwQAAAABMAcAAAAJOS8xOC8yMDIzCAAAAAkzLzMxLzIwMjMJAAAAATDHf97F3rfbCC4ceMret9sII0NJUS5OWVNFOlRFWC5JUV9SRVRVUk5fRVFVSVRZLjEwMDAuAQAAAA6zBAACAAAABzI2LjIwOTEBCAAAAAUAAAABMQEAAAALLTIwNjE2MzE2MzkDAAAAAzE2MAIAAAAENDEyOAQAAAABMAcAAAAJOS8xOC8yMDIzCAAAAAoxMi8zMS8yMDIyCQAAAAEwx3/exd632wguHHjK3rfbCCRDSVEuTkFTREFRQ006VE9STy5JUV9OSV9NQVJHSU4uMTAwMC4BAAAAeXs2bAIAAAAHNDQuNjIyNgEIAAAABQAAAAExAQAAAAstMjAzMzM0NjkwMAMAAAADMTYwAgAAAAQ0MDk0BAAAAAEwBwAAAAk5LzE4LzIwMjMIAAAACjEyLzMxLzIwMjIJAAAAATDHf97F3rfbCC4ceMret9sII0NJUS5OWVNFOlRFWC5JUV9SRVRVUk5fQVNTRVRTLjEwMDAuAQAAAA6zBAACAAAABTguNzc5AQgAAAAFAAAAATEBAAAACy0yMDYxNjMxNjM5AwAAAAMxNjACAAAABDQxNzgEAAAAATAHAAAACTkvMTgvMjAyMwgAAAAKMTIvMzEvMjAyMgkAAAABMMd/3sXet9sILhx4yt632wgfQ0lRLk5ZU0U6QUdDTy5JUV9BUl9UVVJOUy4xMDAwLgEAAABP2AQA</t>
  </si>
  <si>
    <t>AgAAAAkxMS40MzQ3NDMBCAAAAAUAAAABMQEAAAALLTIwNTkwMTI2MDcDAAAAAzE2MAIAAAAENDAwMQQAAAABMAcAAAAJOS8xOC8yMDIzCAAAAAoxMi8zMS8yMDIyCQAAAAEwFrrt39632wgWuu3f3rfbCCFDSVEuVFNFOjYzMjYuSVFfQVNTRVRfVFVSTlMuMTAwMC4BAAAAGVcEAAIAAAAIMC42Mjk5NDQBCAAAAAUAAAABMQEAAAALLTIwNTU2MTY0MzQDAAAAAjc5AgAAAAQ0MTc3BAAAAAEwBwAAAAk5LzE4LzIwMjMIAAAACjEyLzMxLzIwMjIJAAAAATAWuu3f3rfbCBa67d/et9sIHkNJUS5OWVNFOkNBVC5JUV9BUl9UVVJOUy4xMDAwLgEAAAAy9QMAAgAAAAg2LjcyOTc5MgEIAAAABQAAAAExAQAAAAstMjA2MDg4MTkzNwMAAAADMTYwAgAAAAQ0MDAxBAAAAAEwBwAAAAk5LzE4LzIwMjMIAAAACjEyLzMxLzIwMjIJAAAAATAWuu3f3rfbCBa67d/et9sIJkNJUS5OQVNEQVFDTTpUT1JPLklRX0FTU0VUX1RVUk5TLjEwMDAuAQAAAHl7NmwCAAAACDAuNzk0ODUyAQgAAAAFAAAAATEBAAAACy0yMDMzMzQ2OTAwAwAAAAMxNjACAAAABDQxNzcEAAAAATAHAAAACTkvMTgvMjAyMwgAAAAKMTIvMzEvMjAyMgkAAAABMBa67d/et9sIFrrt39632wgfQ0lRLk5ZU0U6Q05ISS5JUV9BUl9UVVJOUy4xMDAwLgEAAABOYhkGAgAAAAoxMTguMzU3MTQyAQgAAAAFAAAAATEBAAAACy0yMDU5MDEyNTg0AwAAAAMxNjACAAAABDQw</t>
  </si>
  <si>
    <t>MDEEAAAAATAHAAAACTkvMTgvMjAyMwgAAAAKMTIvMzEvMjAyMgkAAAABMBa67d/et9sIFrrt39632wgmQ0lRLk5ZU0U6QUdDTy5JUV9JTlZFTlRPUllfVFVSTlMuMTAwMC4BAAAAT9gEAAIAAAAIMy4zMzcxNzEBCAAAAAUAAAABMQEAAAALLTIwNTkwMTI2MDcDAAAAAzE2MAIAAAAENDA4MgQAAAABMAcAAAAJOS8xOC8yMDIzCAAAAAoxMi8zMS8yMDIyCQAAAAEwFrrt39632wgWuu3f3rfbCCVDSVEuTllTRTpDQVQuSVFfSU5WRU5UT1JZX1RVUk5TLjEwMDAuAQAAADL1AwACAAAACDIuNzI4NjUyAQgAAAAFAAAAATEBAAAACy0yMDYwODgxOTM3AwAAAAMxNjACAAAABDQwODIEAAAAATAHAAAACTkvMTgvMjAyMwgAAAAKMTIvMzEvMjAyMgkAAAABMBa67d/et9sIFrrt39632wglQ0lRLlRTRTo2MzI2LklRX0lOVkVOVE9SWV9UVVJOUy4xMDAwLgEAAAAZVwQAAgAAAAgzLjQzMzg0MwEIAAAABQAAAAExAQAAAAstMjA1NTYxNjQzNAMAAAACNzkCAAAABDQwODIEAAAAATAHAAAACTkvMTgvMjAyMwgAAAAKMTIvMzEvMjAyMgkAAAABMBa67d/et9sIFrrt39632wgmQ0lRLk5ZU0U6Q05ISS5JUV9JTlZFTlRPUllfVFVSTlMuMTAwMC4BAAAATmIZBgIAAAAIMy43Mjk3NzEBCAAAAAUAAAABMQEAAAALLTIwNTkwMTI1ODQDAAAAAzE2MAIAAAAENDA4MgQAAAABMAcAAAAJOS8xOC8yMDIzCAAAAAoxMi8zMS8yMDIyCQAA</t>
  </si>
  <si>
    <t>AAEwFrrt39632wgWuu3f3rfbCCBDSVEuTllTRTpERS5JUV9BU1NFVF9UVVJOUy4xMDAwLgEAAACADwQAAgAAAAgwLjYwMzY3MgEIAAAABQAAAAExAQAAAAstMjA2NTM4ODQ2OAMAAAADMTYwAgAAAAQ0MTc3BAAAAAEwBwAAAAk5LzE4LzIwMjMIAAAACjEwLzMwLzIwMjIJAAAAATAWuu3f3rfbCBa67d/et9sIIkNJUS5OWVNFOkFHQ08uSVFfQVNTRVRfVFVSTlMuMTAwMC4BAAAAT9gEAAIAAAAIMS4zMTE5OTEBCAAAAAUAAAABMQEAAAALLTIwNTkwMTI2MDcDAAAAAzE2MAIAAAAENDE3NwQAAAABMAcAAAAJOS8xOC8yMDIzCAAAAAoxMi8zMS8yMDIyCQAAAAEwFrrt39632wgWuu3f3rfbCCFDSVEuU0hTRTo2MDAwMzEuSVFfQVJfVFVSTlMuMTAwMC4BAAAAL1BZAAIAAAAHMi43MDU0OQEIAAAABQAAAAExAQAAAAstMjA1MjU1OTQ3NAMAAAACMzICAAAABDQwMDEEAAAAATAHAAAACTkvMTgvMjAyMwgAAAAKMTIvMzEvMjAyMgkAAAABMBa67d/et9sIFrrt39632wgjQ0lRLk5BU0RBUUNNOlRPUk8uSVFfQVJfVFVSTlMuMTAwMC4BAAAAeXs2bAIAAAAJMTUuMjAzMjAzAQgAAAAFAAAAATEBAAAACy0yMDMzMzQ2OTAwAwAAAAMxNjACAAAABDQwMDEEAAAAATAHAAAACTkvMTgvMjAyMwgAAAAKMTIvMzEvMjAyMgkAAAABMBa67d/et9sIFrrt39632wglQ0lRLk5TRUk6TSZNLklRX0lOVkVOVE9SWV9UVVJOUy4xMDAw</t>
  </si>
  <si>
    <t>LgEAAABCZw0AAgAAAAc1LjI1MTM4AQgAAAAFAAAAATEBAAAACy0yMDM5MDgyNzgyAwAAAAI3MgIAAAAENDA4MgQAAAABMAcAAAAJOS8xOC8yMDIzCAAAAAkzLzMxLzIwMjMJAAAAATAWuu3f3rfbCBa67d/et9sIHkNJUS5UU0U6NjUwMS5JUV9BUl9UVVJOUy4xMDAwLgEAAACbLQIAAgAAAAgzLjcxODA1OAEIAAAABQAAAAExAQAAAAstMjAzOTkzNjcwOQMAAAACNzkCAAAABDQwMDEEAAAAATAHAAAACTkvMTgvMjAyMwgAAAAJMy8zMS8yMDIzCQAAAAEwFrrt39632wgWuu3f3rfbCChDSVEuU0hTRTo2MDAwMzEuSVFfSU5WRU5UT1JZX1RVUk5TLjEwMDAuAQAAAC9QWQACAAAACDMuMTkwODc0AQgAAAAFAAAAATEBAAAACy0yMDUyNTU5NDc0AwAAAAIzMgIAAAAENDA4MgQAAAABMAcAAAAJOS8xOC8yMDIzCAAAAAoxMi8zMS8yMDIyCQAAAAEwFrrt39632wgWuu3f3rfbCCpDSVEuTkFTREFRQ006VE9STy5JUV9JTlZFTlRPUllfVFVSTlMuMTAwMC4BAAAAeXs2bAIAAAAJMjUuMTQ0OTE1AQgAAAAFAAAAATEBAAAACy0yMDMzMzQ2OTAwAwAAAAMxNjACAAAABDQwODIEAAAAATAHAAAACTkvMTgvMjAyMwgAAAAKMTIvMzEvMjAyMgkAAAABMBa67d/et9sIFrrt39632wgeQ0lRLk5ZU0U6VEVYLklRX0FSX1RVUk5TLjEwMDAuAQAAAA6zBAACAAAACDguMzczMTk5AQgAAAAFAAAAATEBAAAACy0yMDYxNjMxNjM5AwAA</t>
  </si>
  <si>
    <t>AAMxNjACAAAABDQwMDEEAAAAATAHAAAACTkvMTgvMjAyMwgAAAAKMTIvMzEvMjAyMgkAAAABMBa67d/et9sIFrrt39632wglQ0lRLlRTRTo2NTAxLklRX0lOVkVOVE9SWV9UVVJOUy4xMDAwLgEAAACbLQIAAgAAAAg0LjQ0MTgwMwEIAAAABQAAAAExAQAAAAstMjAzOTkzNjcwOQMAAAACNzkCAAAABDQwODIEAAAAATAHAAAACTkvMTgvMjAyMwgAAAAJMy8zMS8yMDIzCQAAAAEwFrrt39632wgWuu3f3rfbCCFDSVEuTlNFSTpNJk0uSVFfQVNTRVRfVFVSTlMuMTAwMC4BAAAAQmcNAAIAAAAIMC42NDMyNzIBCAAAAAUAAAABMQEAAAALLTIwMzkwODI3ODIDAAAAAjcyAgAAAAQ0MTc3BAAAAAEwBwAAAAk5LzE4LzIwMjMIAAAACTMvMzEvMjAyMwkAAAABMBa67d/et9sIFrrt39632wglQ0lRLk5ZU0U6VEVYLklRX0lOVkVOVE9SWV9UVVJOUy4xMDAwLgEAAAAOswQAAgAAAAYzLjkzNjQBCAAAAAUAAAABMQEAAAALLTIwNjE2MzE2MzkDAAAAAzE2MAIAAAAENDA4MgQAAAABMAcAAAAJOS8xOC8yMDIzCAAAAAoxMi8zMS8yMDIyCQAAAAEwFrrt39632wgWuu3f3rfbCB5DSVEuVFNFOjYzMjYuSVFfQVJfVFVSTlMuMTAwMC4BAAAAGVcEAAIAAAAIMi40MTg0NzUBCAAAAAUAAAABMQEAAAALLTIwNTU2MTY0MzQDAAAAAjc5AgAAAAQ0MDAxBAAAAAEwBwAAAAk5LzE4LzIwMjMIAAAACjEyLzMxLzIwMjIJAAAAATAWuu3f</t>
  </si>
  <si>
    <t>3rfbCBa67d/et9sIHUNJUS5OWVNFOkRFLklRX0FSX1RVUk5TLjEwMDAuAQAAAIAPBAACAAAACDguOTE2NDQ5AQgAAAAFAAAAATEBAAAACy0yMDY1Mzg4NDY4AwAAAAMxNjACAAAABDQwMDEEAAAAATAHAAAACTkvMTgvMjAyMwgAAAAKMTAvMzAvMjAyMgkAAAABMBa67d/et9sIFrrt39632wgiQ0lRLk5ZU0U6Q05ISS5JUV9BU1NFVF9UVVJOUy4xMDAwLgEAAABOYhkGAgAAAAgwLjUzMDQ0NQEIAAAABQAAAAExAQAAAAstMjA1OTAxMjU4NAMAAAADMTYwAgAAAAQ0MTc3BAAAAAEwBwAAAAk5LzE4LzIwMjMIAAAACjEyLzMxLzIwMjIJAAAAATAWuu3f3rfbCBa67d/et9sIJENJUS5OWVNFOkRFLklRX0lOVkVOVE9SWV9UVVJOUy4xMDAwLgEAAACADwQAAgAAAAg0LjYwMjkwNgEIAAAABQAAAAExAQAAAAstMjA2NTM4ODQ2OAMAAAADMTYwAgAAAAQ0MDgyBAAAAAEwBwAAAAk5LzE4LzIwMjMIAAAACjEwLzMwLzIwMjIJAAAAATAWuu3f3rfbCBa67d/et9sIHkNJUS5OU0VJOk0mTS5JUV9BUl9UVVJOUy4xMDAwLgEAAABCZw0AAgAAAAkxNy42NzQyMTcBCAAAAAUAAAABMQEAAAALLTIwMzkwODI3ODIDAAAAAjcyAgAAAAQ0MDAxBAAAAAEwBwAAAAk5LzE4LzIwMjMIAAAACTMvMzEvMjAyMwkAAAABMBa67d/et9sIFrrt39632wgcQ0lRLk5ZU0U6TVRaLklRX0NPTVBBTllfTkFNRQEAAABUngIAAwAAAAxNYXNUZWMs</t>
  </si>
  <si>
    <t>IEluYy4AgMhGX9+32whL2SW347fbCBxDSVEuTllTRTpQV1IuSVFfQ09NUEFOWV9OQU1FAQAAAOWCAAADAAAAFVF1YW50YSBTZXJ2aWNlcywgSW5jLgCAyEZf37fbCEvZJbfjt9sIHUNJUS5OWVNFOk1ZUkcuSVFfQ09NUEFOWV9OQU1FBQAAAAAAAAAIAAAAFChJbnZhbGlkIElkZW50aWZpZXIpgMhGX9+32whqS3Rf37fbCCVDSVEuTllTRTpQV1IuSVFfSU5WRU5UT1JZX1RVUk5TLjEwMDAuAQAAAOWCAAACAAAACjE1NC43OTM5MzcBCAAAAAUAAAABMQEAAAALLTIwNTk3NDEzNzMDAAAAAzE2MAIAAAAENDA4MgQAAAABMAcAAAAJOS8xOC8yMDIzCAAAAAoxMi8zMS8yMDIyCQAAAAEwgMhGX9+32wiAyEZf37fbCCZDSVEuTllTRTpNWVJHLklRX0lOVkVOVE9SWV9UVVJOUy4xMDAwLgUAAAAAAAAACAAAABQoSW52YWxpZCBJZGVudGlmaWVyKYDIRl/ft9sIgMhGX9+32wgfQ0lRLk5ZU0U6TVlSRy5JUV9BUl9UVVJOUy4xMDAwLgUAAAAAAAAACAAAABQoSW52YWxpZCBJZGVudGlmaWVyKYDIRl/ft9sIgMhGX9+32wgiQ0lRLk5ZU0U6TVlSRy5JUV9BU1NFVF9UVVJOUy4xMDAwLgUAAAAAAAAACAAAABQoSW52YWxpZCBJZGVudGlmaWVyKYDIRl/ft9sIgMhGX9+32wgeQ0lRLk5ZU0U6UFdSLklRX0FSX1RVUk5TLjEwMDAuAQAAAOWCAAACAAAACDMuODExNzc2AQgAAAAFAAAAATEBAAAACy0yMDU5NzQxMzczAwAAAAMx</t>
  </si>
  <si>
    <t>NjACAAAABDQwMDEEAAAAATAHAAAACTkvMTgvMjAyMwgAAAAKMTIvMzEvMjAyMgkAAAABMIDIRl/ft9sIgMhGX9+32wghQ0lRLk5ZU0U6UFdSLklRX0FTU0VUX1RVUk5TLjEwMDAuAQAAAOWCAAACAAAACDEuMjk3NDMyAQgAAAAFAAAAATEBAAAACy0yMDU5NzQxMzczAwAAAAMxNjACAAAABDQxNzcEAAAAATAHAAAACTkvMTgvMjAyMwgAAAAKMTIvMzEvMjAyMgkAAAABMIDIRl/ft9sIgMhGX9+32wghQ0lRLk5ZU0U6TVRaLklRX0FTU0VUX1RVUk5TLjEwMDAuAQAAAFSeAgACAAAACDEuMTkxMzc5AQgAAAAFAAAAATEBAAAACy0yMDU2OTE5NDI2AwAAAAMxNjACAAAABDQxNzcEAAAAATAHAAAACTkvMTgvMjAyMwgAAAAKMTIvMzEvMjAyMgkAAAABMIDIRl/ft9sIgMhGX9+32wglQ0lRLk5ZU0U6TVRaLklRX0lOVkVOVE9SWV9UVVJOUy4xMDAwLgEAAABUngIAAgAAAAk4MS4yNzcyNjQBCAAAAAUAAAABMQEAAAALLTIwNTY5MTk0MjYDAAAAAzE2MAIAAAAENDA4MgQAAAABMAcAAAAJOS8xOC8yMDIzCAAAAAoxMi8zMS8yMDIyCQAAAAEwgMhGX9+32wiAyEZf37fbCB5DSVEuTllTRTpNVFouSVFfQVJfVFVSTlMuMTAwMC4BAAAAVJ4CAAIAAAAIMy42MzcwNzUBCAAAAAUAAAABMQEAAAALLTIwNTY5MTk0MjYDAAAAAzE2MAIAAAAENDAwMQQAAAABMAcAAAAJOS8xOC8yMDIzCAAAAAoxMi8zMS8yMDIyCQAAAAEwgMhG</t>
  </si>
  <si>
    <t>X9+32wiAyEZf37fbCDJDSVEuTllTRTpQV1IuSVFfR1JPU1NfTUFSR0lOLjEwMDAuMTIvMzEvMjAxMy4uLlVTRAEAAADlggAAAgAAAAcxNS4zOTI5AQgAAAAFAAAAATEBAAAACjE3Nzg2Mzc2MzMDAAAAAzE2MAIAAAAENDA3NAQAAAABMAcAAAAKMTIvMzEvMjAxMwgAAAAKMTIvMzEvMjAxMwkAAAABMIDIRl/ft9sI+Oeihd+32wgzQ0lRLk5ZU0U6TVlSRy5JUV9HUk9TU19NQVJHSU4uMTAwMC4xMi8zMS8yMDEzLi4uVVNEBQAAAAAAAAAIAAAAFChJbnZhbGlkIElkZW50aWZpZXIpgMhGX9+32whqS3Rf37fbCC1DSVEuTllTRTpNVFouSVFfUkVUVVJOX0VRVUlUWS4xMDAwLjEyLzMxLzIwMTMBAAAAVJ4CAAIAAAAHMTUuNjg1MwEIAAAABQAAAAExAQAAAAoxNzc4MTQ2MDcyAwAAAAMxNjACAAAABDQxMjgEAAAAATAHAAAACjEyLzMxLzIwMTMIAAAACjEyLzMxLzIwMTMJAAAAATCAyEZf37fbCEvZJbfjt9sILUNJUS5OWVNFOlBXUi5JUV9SRVRVUk5fQVNTRVRTLjEwMDAuMTIvMzEvMjAxNQEAAADlggAAAgAAAAYzLjI2NTMBCAAAAAUAAAABMQEAAAAKMTg3NjkyNzU3NQMAAAADMTYwAgAAAAQ0MTc4BAAAAAEwBwAAAAoxMi8zMS8yMDE1CAAAAAoxMi8zMS8yMDE1CQAAAAEwgMhGX9+32wgcY0Wu37fbCC1DSVEuTllTRTpNVFouSVFfUkVUVVJOX0FTU0VUUy4xMDAwLjEyLzMxLzIwMTMBAAAAVJ4CAAIAAAAFNi43</t>
  </si>
  <si>
    <t>NDIBCAAAAAUAAAABMQEAAAAKMTc3ODE0NjA3MgMAAAADMTYwAgAAAAQ0MTc4BAAAAAEwBwAAAAoxMi8zMS8yMDEzCAAAAAoxMi8zMS8yMDEzCQAAAAEwgMhGX9+32wgcY0Wu37fbCCtDSVEuTllTRTpNVFouSVFfRUJJVF9NQVJHSU4uMTAwMC4xMi8zMS8yMDEzAQAAAFSeAgACAAAABjYuNjU5MQEIAAAABQAAAAExAQAAAAoxNzc4MTQ2MDcyAwAAAAMxNjACAAAABDQwNTMEAAAAATAHAAAACjEyLzMxLzIwMTMIAAAACjEyLzMxLzIwMTMJAAAAATCAyEZf37fbCOrCUKbft9sIKUNJUS5OWVNFOlBXUi5JUV9OSV9NQVJHSU4uMTAwMC4xMi8zMS8yMDEzAQAAAOWCAAACAAAABjYuMjY4NgEIAAAABQAAAAExAQAAAAoxNzc4NjM3NjMzAwAAAAMxNjACAAAABDQwOTQEAAAAATAHAAAACjEyLzMxLzIwMTMIAAAACjEyLzMxLzIwMTMJAAAAATCAyEZf37fbCMZXVaDft9sILUNJUS5OWVNFOk1UWi5JUV9SRVRVUk5fQVNTRVRTLjEwMDAuMTIvMzEvMjAxNAEAAABUngIAAgAAAAY0Ljc0NzQBCAAAAAUAAAABMQEAAAAKMTgyOTIyNTUyMQMAAAADMTYwAgAAAAQ0MTc4BAAAAAEwBwAAAAoxMi8zMS8yMDE0CAAAAAoxMi8zMS8yMDE0CQAAAAEwgMhGX9+32wgcY0Wu37fbCCtDSVEuTllTRTpNVFouSVFfRUJJVF9NQVJHSU4uMTAwMC4xMi8zMS8yMDE0AQAAAFSeAgACAAAABjUuMzQyNAEIAAAABQAAAAExAQAAAAoxODI5MjI1</t>
  </si>
  <si>
    <t>NTIxAwAAAAMxNjACAAAABDQwNTMEAAAAATAHAAAACjEyLzMxLzIwMTQIAAAACjEyLzMxLzIwMTQJAAAAATCAyEZf37fbCOrCUKbft9sIKUNJUS5OWVNFOlBXUi5JUV9OSV9NQVJHSU4uMTAwMC4xMi8zMS8yMDE0AQAAAOWCAAACAAAABjMuODI5OQEIAAAABQAAAAExAQAAAAoxODMwMDY0NjU2AwAAAAMxNjACAAAABDQwOTQEAAAAATAHAAAACjEyLzMxLzIwMTQIAAAACjEyLzMxLzIwMTQJAAAAATCAyEZf37fbCMZXVaDft9sILUNJUS5OWVNFOk1UWi5JUV9SRVRVUk5fQVNTRVRTLjEwMDAuMTIvMzEvMjAxNQEAAABUngIAAgAAAAYxLjMzMzYBCAAAAAUAAAABMQEAAAAKMTg3NjczNDgwNgMAAAADMTYwAgAAAAQ0MTc4BAAAAAEwBwAAAAoxMi8zMS8yMDE1CAAAAAoxMi8zMS8yMDE1CQAAAAEwgMhGX9+32wgcY0Wu37fbCDNDSVEuTllTRTpQV1IuSVFfRUJJVERBX01BUkdJTi4xMDAwLjEyLzMxLzIwMTUuLi5VU0QBAAAA5YIAAAIAAAAGNi41NjY1AQgAAAAFAAAAATEBAAAACjE4NzY5Mjc1NzUDAAAAAzE2MAIAAAAENDA0NwQAAAABMAcAAAAKMTIvMzEvMjAxNQgAAAAKMTIvMzEvMjAxNQkAAAABMIDIRl/ft9sIHGNFrt+32wgzQ0lRLk5ZU0U6TVRaLklRX0VCSVREQV9NQVJHSU4uMTAwMC4xMi8zMS8yMDEzLi4uVVNEAQAAAFSeAgACAAAABjkuOTE3NgEIAAAABQAAAAExAQAAAAoxNzc4MTQ2MDcyAwAAAAMx</t>
  </si>
  <si>
    <t>NjACAAAABDQwNDcEAAAAATAHAAAACjEyLzMxLzIwMTMIAAAACjEyLzMxLzIwMTMJAAAAATCAyEZf37fbCBxjRa7ft9sIK0NJUS5OWVNFOk1UWi5JUV9FQklUX01BUkdJTi4xMDAwLjEyLzMxLzIwMTUBAAAAVJ4CAAIAAAAGMS42NDU2AQgAAAAFAAAAATEBAAAACjE4NzY3MzQ4MDYDAAAAAzE2MAIAAAAENDA1MwQAAAABMAcAAAAKMTIvMzEvMjAxNQgAAAAKMTIvMzEvMjAxNQkAAAABMIDIRl/ft9sI6sJQpt+32wgpQ0lRLk5ZU0U6UFdSLklRX05JX01BUkdJTi4xMDAwLjEyLzMxLzIwMTUBAAAA5YIAAAIAAAAGNC4xMDU3AQgAAAAFAAAAATEBAAAACjE4NzY5Mjc1NzUDAAAAAzE2MAIAAAAENDA5NAQAAAABMAcAAAAKMTIvMzEvMjAxNQgAAAAKMTIvMzEvMjAxNQkAAAABMIDIRl/ft9sIxldVoN+32wgzQ0lRLk5ZU0U6TVRaLklRX0VCSVREQV9NQVJHSU4uMTAwMC4xMi8zMS8yMDE0Li4uVVNEAQAAAFSeAgACAAAABjguNjkxNQEIAAAABQAAAAExAQAAAAoxODI5MjI1NTIxAwAAAAMxNjACAAAABDQwNDcEAAAAATAHAAAACjEyLzMxLzIwMTQIAAAACjEyLzMxLzIwMTQJAAAAATCAyEZf37fbCBxjRa7ft9sIM0NJUS5OWVNFOk1UWi5JUV9FQklUREFfTUFSR0lOLjEwMDAuMTIvMzEvMjAxNS4uLlVTRAEAAABUngIAAgAAAAY1LjY3NzIBCAAAAAUAAAABMQEAAAAKMTg3NjczNDgwNgMAAAADMTYwAgAAAAQ0MDQ3</t>
  </si>
  <si>
    <t>BAAAAAEwBwAAAAoxMi8zMS8yMDE1CAAAAAoxMi8zMS8yMDE1CQAAAAEwgMhGX9+32wgcY0Wu37fbCCpDSVEuTllTRTpNWVJHLklRX05JX01BUkdJTi4xMDAwLjEyLzMxLzIwMTUFAAAAAAAAAAgAAAAUKEludmFsaWQgSWRlbnRpZmllcimAyEZf37fbCGpLdF/ft9sIK0NJUS5OWVNFOlBXUi5JUV9FQklUX01BUkdJTi4xMDAwLjEyLzMxLzIwMTMBAAAA5YIAAAIAAAAFNy40MjQBCAAAAAUAAAABMQEAAAAKMTc3ODYzNzYzMwMAAAADMTYwAgAAAAQ0MDUzBAAAAAEwBwAAAAoxMi8zMS8yMDEzCAAAAAoxMi8zMS8yMDEzCQAAAAEwgMhGX9+32wjqwlCm37fbCDRDSVEuTllTRTpNWVJHLklRX0VCSVREQV9NQVJHSU4uMTAwMC4xMi8zMS8yMDE1Li4uVVNEBQAAAAAAAAAIAAAAFChJbnZhbGlkIElkZW50aWZpZXIpgMhGX9+32whqS3Rf37fbCCxDSVEuTllTRTpNWVJHLklRX0VCSVRfTUFSR0lOLjEwMDAuMTIvMzEvMjAxNQUAAAAAAAAACAAAABQoSW52YWxpZCBJZGVudGlmaWVyKYDIRl/ft9sIakt0X9+32wgpQ0lRLk5ZU0U6TVRaLklRX05JX01BUkdJTi4xMDAwLjEyLzMxLzIwMTUBAAAAVJ4CAAIAAAAHLTEuODc5OAEIAAAABQAAAAExAQAAAAoxODc2NzM0ODA2AwAAAAMxNjACAAAABDQwOTQEAAAAATAHAAAACjEyLzMxLzIwMTUIAAAACjEyLzMxLzIwMTUJAAAAATCAyEZf37fbCMZXVaDft9sIMkNJUS5OWVNF</t>
  </si>
  <si>
    <t>OlBXUi5JUV9HUk9TU19NQVJHSU4uMTAwMC4xMi8zMS8yMDE0Li4uVVNEAQAAAOWCAAACAAAABzE1LjA4NjYBCAAAAAUAAAABMQEAAAAKMTgzMDA2NDY1NgMAAAADMTYwAgAAAAQ0MDc0BAAAAAEwBwAAAAoxMi8zMS8yMDE0CAAAAAoxMi8zMS8yMDE0CQAAAAEwgMhGX9+32wjkvaKF37fbCDJDSVEuTllTRTpQV1IuSVFfR1JPU1NfTUFSR0lOLjEwMDAuMTIvMzEvMjAxNS4uLlVTRAEAAADlggAAAgAAAAcxMi4xOTc3AQgAAAAFAAAAATEBAAAACjE4NzY5Mjc1NzUDAAAAAzE2MAIAAAAENDA3NAQAAAABMAcAAAAKMTIvMzEvMjAxNQgAAAAKMTIvMzEvMjAxNQkAAAABMIDIRl/ft9sI5L2ihd+32wguQ0lRLk5ZU0U6TVlSRy5JUV9SRVRVUk5fRVFVSVRZLjEwMDAuMTIvMzEvMjAxMwUAAAAAAAAACAAAABQoSW52YWxpZCBJZGVudGlmaWVyKYDIRl/ft9sIakt0X9+32wguQ0lRLk5ZU0U6TVlSRy5JUV9SRVRVUk5fRVFVSVRZLjEwMDAuMTIvMzEvMjAxNAUAAAAAAAAACAAAABQoSW52YWxpZCBJZGVudGlmaWVyKYDIRl/ft9sIakt0X9+32wguQ0lRLk5ZU0U6TVlSRy5JUV9SRVRVUk5fQVNTRVRTLjEwMDAuMTIvMzEvMjAxMwUAAAAAAAAACAAAABQoSW52YWxpZCBJZGVudGlmaWVyKYDIRl/ft9sIakt0X9+32wguQ0lRLk5ZU0U6TVlSRy5JUV9SRVRVUk5fQVNTRVRTLjEwMDAuMTIvMzEvMjAxNAUAAAAAAAAACAAA</t>
  </si>
  <si>
    <t>ABQoSW52YWxpZCBJZGVudGlmaWVyKYDIRl/ft9sIakt0X9+32wgtQ0lRLk5ZU0U6UFdSLklRX1JFVFVSTl9FUVVJVFkuMTAwMC4xMi8zMS8yMDEzAQAAAOWCAAACAAAABjkuNzY5OQEIAAAABQAAAAExAQAAAAoxNzc4NjM3NjMzAwAAAAMxNjACAAAABDQxMjgEAAAAATAHAAAACjEyLzMxLzIwMTMIAAAACjEyLzMxLzIwMTMJAAAAATCAyEZf37fbCEvZJbfjt9sINENJUS5OWVNFOk1ZUkcuSVFfRUJJVERBX01BUkdJTi4xMDAwLjEyLzMxLzIwMTMuLi5VU0QFAAAAAAAAAAgAAAAUKEludmFsaWQgSWRlbnRpZmllcimAyEZf37fbCGpLdF/ft9sILENJUS5OWVNFOk1ZUkcuSVFfRUJJVF9NQVJHSU4uMTAwMC4xMi8zMS8yMDEzBQAAAAAAAAAIAAAAFChJbnZhbGlkIElkZW50aWZpZXIpgMhGX9+32whqS3Rf37fbCC1DSVEuTllTRTpQV1IuSVFfUkVUVVJOX0FTU0VUUy4xMDAwLjEyLzMxLzIwMTMBAAAA5YIAAAIAAAAGNS40NDE3AQgAAAAFAAAAATEBAAAACjE3Nzg2Mzc2MzMDAAAAAzE2MAIAAAAENDE3OAQAAAABMAcAAAAKMTIvMzEvMjAxMwgAAAAKMTIvMzEvMjAxMwkAAAABMIDIRl/ft9sIHGNFrt+32wguQ0lRLk5ZU0U6TVlSRy5JUV9SRVRVUk5fQVNTRVRTLjEwMDAuMTIvMzEvMjAxNQUAAAAAAAAACAAAABQoSW52YWxpZCBJZGVudGlmaWVyKYDIRl/ft9sIakt0X9+32wgtQ0lRLk5ZU0U6UFdSLklRX1JF</t>
  </si>
  <si>
    <t>VFVSTl9FUVVJVFkuMTAwMC4xMi8zMS8yMDE0AQAAAOWCAAACAAAABjYuNTYwOAEIAAAABQAAAAExAQAAAAoxODMwMDY0NjU2AwAAAAMxNjACAAAABDQxMjgEAAAAATAHAAAACjEyLzMxLzIwMTQIAAAACjEyLzMxLzIwMTQJAAAAATCAyEZf37fbCEvZJbfjt9sILENJUS5OWVNFOk1ZUkcuSVFfRUJJVF9NQVJHSU4uMTAwMC4xMi8zMS8yMDE0BQAAAAAAAAAIAAAAFChJbnZhbGlkIElkZW50aWZpZXIpgMhGX9+32whqS3Rf37fbCDRDSVEuTllTRTpNWVJHLklRX0VCSVREQV9NQVJHSU4uMTAwMC4xMi8zMS8yMDE0Li4uVVNEBQAAAAAAAAAIAAAAFChJbnZhbGlkIElkZW50aWZpZXIpgMhGX9+32whqS3Rf37fbCC1DSVEuTllTRTpQV1IuSVFfUkVUVVJOX0FTU0VUUy4xMDAwLjEyLzMxLzIwMTQBAAAA5YIAAAIAAAAGNC45NzQ5AQgAAAAFAAAAATEBAAAACjE4MzAwNjQ2NTYDAAAAAzE2MAIAAAAENDE3OAQAAAABMAcAAAAKMTIvMzEvMjAxNAgAAAAKMTIvMzEvMjAxNAkAAAABMIDIRl/ft9sIHGNFrt+32wgtQ0lRLk5ZU0U6UFdSLklRX1JFVFVSTl9FUVVJVFkuMTAwMC4xMi8zMS8yMDE1AQAAAOWCAAACAAAABjMuNDQ2NgEIAAAABQAAAAExAQAAAAoxODc2OTI3NTc1AwAAAAMxNjACAAAABDQxMjgEAAAAATAHAAAACjEyLzMxLzIwMTUIAAAACjEyLzMxLzIwMTUJAAAAATCAyEZf37fbCEvZJbfjt9sILUNJUS5O</t>
  </si>
  <si>
    <t>WVNFOk1UWi5JUV9SRVRVUk5fRVFVSVRZLjEwMDAuMTIvMzEvMjAxNAEAAABUngIAAgAAAAcxMS4yNDg4AQgAAAAFAAAAATEBAAAACjE4MjkyMjU1MjEDAAAAAzE2MAIAAAAENDEyOAQAAAABMAcAAAAKMTIvMzEvMjAxNAgAAAAKMTIvMzEvMjAxNAkAAAABMIDIRl/ft9sIS9klt+O32wgzQ0lRLk5ZU0U6TVlSRy5JUV9HUk9TU19NQVJHSU4uMTAwMC4xMi8zMS8yMDE0Li4uVVNEBQAAAAAAAAAIAAAAFChJbnZhbGlkIElkZW50aWZpZXIpgMhGX9+32whqS3Rf37fbCCtDSVEuTllTRTpQV1IuSVFfRUJJVF9NQVJHSU4uMTAwMC4xMi8zMS8yMDE0AQAAAOWCAAACAAAABjYuMTg4NwEIAAAABQAAAAExAQAAAAoxODMwMDY0NjU2AwAAAAMxNjACAAAABDQwNTMEAAAAATAHAAAACjEyLzMxLzIwMTQIAAAACjEyLzMxLzIwMTQJAAAAATCAyEZf37fbCOrCUKbft9sILUNJUS5OWVNFOk1UWi5JUV9SRVRVUk5fRVFVSVRZLjEwMDAuMTIvMzEvMjAxNQEAAABUngIAAgAAAActNy42MjE3AQgAAAAFAAAAATEBAAAACjE4NzY3MzQ4MDYDAAAAAzE2MAIAAAAENDEyOAQAAAABMAcAAAAKMTIvMzEvMjAxNQgAAAAKMTIvMzEvMjAxNQkAAAABMIDIRl/ft9sIS9klt+O32wgzQ0lRLk5ZU0U6TVlSRy5JUV9HUk9TU19NQVJHSU4uMTAwMC4xMi8zMS8yMDE1Li4uVVNEBQAAAAAAAAAIAAAAFChJbnZhbGlkIElkZW50aWZpZXIpgMhG</t>
  </si>
  <si>
    <t>X9+32whqS3Rf37fbCCpDSVEuTllTRTpNWVJHLklRX05JX01BUkdJTi4xMDAwLjEyLzMxLzIwMTMFAAAAAAAAAAgAAAAUKEludmFsaWQgSWRlbnRpZmllcimAyEZf37fbCGpLdF/ft9sIK0NJUS5OWVNFOlBXUi5JUV9FQklUX01BUkdJTi4xMDAwLjEyLzMxLzIwMTUBAAAA5YIAAAIAAAAGMy45NTU4AQgAAAAFAAAAATEBAAAACjE4NzY5Mjc1NzUDAAAAAzE2MAIAAAAENDA1MwQAAAABMAcAAAAKMTIvMzEvMjAxNQgAAAAKMTIvMzEvMjAxNQkAAAABMIDIRl/ft9sI6sJQpt+32wgzQ0lRLk5ZU0U6UFdSLklRX0VCSVREQV9NQVJHSU4uMTAwMC4xMi8zMS8yMDEzLi4uVVNEAQAAAOWCAAACAAAABjkuNjgwOAEIAAAABQAAAAExAQAAAAoxNzc4NjM3NjMzAwAAAAMxNjACAAAABDQwNDcEAAAAATAHAAAACjEyLzMxLzIwMTMIAAAACjEyLzMxLzIwMTMJAAAAATCAyEZf37fbCBxjRa7ft9sIKkNJUS5OWVNFOk1ZUkcuSVFfTklfTUFSR0lOLjEwMDAuMTIvMzEvMjAxNAUAAAAAAAAACAAAABQoSW52YWxpZCBJZGVudGlmaWVyKYDIRl/ft9sIakt0X9+32wgzQ0lRLk5ZU0U6UFdSLklRX0VCSVREQV9NQVJHSU4uMTAwMC4xMi8zMS8yMDE0Li4uVVNEAQAAAOWCAAACAAAABjguNDUyMwEIAAAABQAAAAExAQAAAAoxODMwMDY0NjU2AwAAAAMxNjACAAAABDQwNDcEAAAAATAHAAAACjEyLzMxLzIwMTQIAAAACjEyLzMxLzIw</t>
  </si>
  <si>
    <t>MTQJAAAAATCAyEZf37fbCBxjRa7ft9sILkNJUS5OWVNFOk1ZUkcuSVFfUkVUVVJOX0VRVUlUWS4xMDAwLjEyLzMxLzIwMTUFAAAAAAAAAAgAAAAUKEludmFsaWQgSWRlbnRpZmllcimAyEZf37fbCGpLdF/ft9sIMkNJUS5OWVNFOk1UWi5JUV9HUk9TU19NQVJHSU4uMTAwMC4xMi8zMS8yMDE0Li4uVVNEAQAAAFSeAgACAAAABzEzLjc0MzgBCAAAAAUAAAABMQEAAAAKMTgyOTIyNTUyMQMAAAADMTYwAgAAAAQ0MDc0BAAAAAEwBwAAAAoxMi8zMS8yMDE0CAAAAAoxMi8zMS8yMDE0CQAAAAEwgMhGX9+32wjolqKF37fbCDJDSVEuTllTRTpNVFouSVFfR1JPU1NfTUFSR0lOLjEwMDAuMTIvMzEvMjAxNS4uLlVTRAEAAABUngIAAgAAAAcxMS41NzI5AQgAAAAFAAAAATEBAAAACjE4NzY3MzQ4MDYDAAAAAzE2MAIAAAAENDA3NAQAAAABMAcAAAAKMTIvMzEvMjAxNQgAAAAKMTIvMzEvMjAxNQkAAAABMIDIRl/ft9sImW+ihd+32wgpQ0lRLk5ZU0U6TVRaLklRX05JX01BUkdJTi4xMDAwLjEyLzMxLzIwMTMBAAAAVJ4CAAIAAAAGMy4yNTkxAQgAAAAFAAAAATEBAAAACjE3NzgxNDYwNzIDAAAAAzE2MAIAAAAENDA5NAQAAAABMAcAAAAKMTIvMzEvMjAxMwgAAAAKMTIvMzEvMjAxMwkAAAABMIDIRl/ft9sIxldVoN+32wgyQ0lRLk5ZU0U6TVRaLklRX0dST1NTX01BUkdJTi4xMDAwLjEyLzMxLzIwMTMuLi5VU0QBAAAA</t>
  </si>
  <si>
    <t>VJ4CAAIAAAAHMTQuODU0MwEIAAAABQAAAAExAQAAAAoxNzc4MTQ2MDcyAwAAAAMxNjACAAAABDQwNzQEAAAAATAHAAAACjEyLzMxLzIwMTMIAAAACjEyLzMxLzIwMTMJAAAAATCAyEZf37fbCJlvooXft9sIKUNJUS5OWVNFOk1UWi5JUV9OSV9NQVJHSU4uMTAwMC4xMi8zMS8yMDE0AQAAAFSeAgACAAAABjIuNTEzNgEIAAAABQAAAAExAQAAAAoxODI5MjI1NTIxAwAAAAMxNjACAAAABDQwOTQEAAAAATAHAAAACjEyLzMxLzIwMTQIAAAACjEyLzMxLzIwMTQJAAAAATCAyEZf37fbCMZXVaDft9sILUNJUS5OWVNFOlBXUi5JUV9SRVRVUk5fQVNTRVRTLjEwMDAuMTIvMzAvMjAxNgEAAADlggAAAgAAAAYzLjI2NTMBCAAAAAUAAAABMQEAAAAKMTg3NjkyNzU3NQMAAAADMTYwAgAAAAQ0MTc4BAAAAAEwBwAAAAoxMi8zMC8yMDE2CAAAAAoxMi8zMS8yMDE1CQAAAAEwgMhGX9+32wiaBZWu37fbCC5DSVEuTllTRTpNWVJHLklRX1JFVFVSTl9BU1NFVFMuMTAwMC4xMi8zMC8yMDE2BQAAAAAAAAAIAAAAFChJbnZhbGlkIElkZW50aWZpZXIpgMhGX9+32whqS3Rf37fbCC1DSVEuTllTRTpNVFouSVFfUkVUVVJOX0FTU0VUUy4xMDAwLjEyLzMwLzIwMTYBAAAAVJ4CAAIAAAAGMS4zMzM2AQgAAAAFAAAAATEBAAAACjE4NzY3MzQ4MDYDAAAAAzE2MAIAAAAENDE3OAQAAAABMAcAAAAKMTIvMzAvMjAxNggAAAAKMTIvMzEv</t>
  </si>
  <si>
    <t>MjAxNQkAAAABMIDIRl/ft9sImgWVrt+32wgzQ0lRLk5ZU0U6UFdSLklRX0VCSVREQV9NQVJHSU4uMTAwMC4xMi8zMC8yMDE2Li4uVVNEAQAAAOWCAAACAAAABjYuNTY2NQEIAAAABQAAAAExAQAAAAoxODc2OTI3NTc1AwAAAAMxNjACAAAABDQwNDcEAAAAATAHAAAACjEyLzMwLzIwMTYIAAAACjEyLzMxLzIwMTUJAAAAATCAyEZf37fbCJoFla7ft9sIM0NJUS5OWVNFOk1UWi5JUV9FQklUREFfTUFSR0lOLjEwMDAuMTIvMzAvMjAxNi4uLlVTRAEAAABUngIAAgAAAAY1LjY3NzIBCAAAAAUAAAABMQEAAAAKMTg3NjczNDgwNgMAAAADMTYwAgAAAAQ0MDQ3BAAAAAEwBwAAAAoxMi8zMC8yMDE2CAAAAAoxMi8zMS8yMDE1CQAAAAEwgMhGX9+32wiaBZWu37fbCDRDSVEuTllTRTpNWVJHLklRX0VCSVREQV9NQVJHSU4uMTAwMC4xMi8zMC8yMDE2Li4uVVNEBQAAAAAAAAAIAAAAFChJbnZhbGlkIElkZW50aWZpZXIpgMhGX9+32whqS3Rf37fbCClDSVEuTllTRTpNVFouSVFfTklfTUFSR0lOLjEwMDAuMTIvMzAvMjAxNgEAAABUngIAAgAAAActMS44Nzk4AQgAAAAFAAAAATEBAAAACjE4NzY3MzQ4MDYDAAAAAzE2MAIAAAAENDA5NAQAAAABMAcAAAAKMTIvMzAvMjAxNggAAAAKMTIvMzEvMjAxNQkAAAABMIDIRl/ft9sIRMCRoN+32wgqQ0lRLk5ZU0U6TVlSRy5JUV9OSV9NQVJHSU4uMTAwMC4xMi8zMC8yMDE2BQAA</t>
  </si>
  <si>
    <t>AAAAAAAIAAAAFChJbnZhbGlkIElkZW50aWZpZXIpgMhGX9+32whqS3Rf37fbCClDSVEuTllTRTpQV1IuSVFfTklfTUFSR0lOLjEwMDAuMTIvMzAvMjAxNgEAAADlggAAAgAAAAY0LjEwNTcBCAAAAAUAAAABMQEAAAAKMTg3NjkyNzU3NQMAAAADMTYwAgAAAAQ0MDk0BAAAAAEwBwAAAAoxMi8zMC8yMDE2CAAAAAoxMi8zMS8yMDE1CQAAAAEwgMhGX9+32whEwJGg37fbCDJDSVEuTllTRTpQV1IuSVFfR1JPU1NfTUFSR0lOLjEwMDAuMTIvMzAvMjAxNi4uLlVTRAEAAADlggAAAgAAAAcxMi4xOTc3AQgAAAAFAAAAATEBAAAACjE4NzY5Mjc1NzUDAAAAAzE2MAIAAAAENDA3NAQAAAABMAcAAAAKMTIvMzAvMjAxNggAAAAKMTIvMzEvMjAxNQkAAAABMIDIRl/ft9sImW+ihd+32wgzQ0lRLk5ZU0U6TVlSRy5JUV9HUk9TU19NQVJHSU4uMTAwMC4xMi8zMC8yMDE2Li4uVVNEBQAAAAAAAAAIAAAAFChJbnZhbGlkIElkZW50aWZpZXIpgMhGX9+32whqS3Rf37fbCDJDSVEuTllTRTpNVFouSVFfR1JPU1NfTUFSR0lOLjEwMDAuMTIvMzAvMjAxNi4uLlVTRAEAAABUngIAAgAAAAcxMS41NzI5AQgAAAAFAAAAATEBAAAACjE4NzY3MzQ4MDYDAAAAAzE2MAIAAAAENDA3NAQAAAABMAcAAAAKMTIvMzAvMjAxNggAAAAKMTIvMzEvMjAxNQkAAAABMIDIRl/ft9sIvWCihd+32wgtQ0lRLk5ZU0U6UFdSLklRX1JFVFVSTl9FUVVJ</t>
  </si>
  <si>
    <t>VFkuMTAwMC4xMi8zMC8yMDE2AQAAAOWCAAACAAAABjMuNDQ2NgEIAAAABQAAAAExAQAAAAoxODc2OTI3NTc1AwAAAAMxNjACAAAABDQxMjgEAAAAATAHAAAACjEyLzMwLzIwMTYIAAAACjEyLzMxLzIwMTUJAAAAATCAyEZf37fbCEvZJbfjt9sILUNJUS5OWVNFOk1UWi5JUV9SRVRVUk5fRVFVSVRZLjEwMDAuMTIvMzAvMjAxNgEAAABUngIAAgAAAActNy42MjE3AQgAAAAFAAAAATEBAAAACjE4NzY3MzQ4MDYDAAAAAzE2MAIAAAAENDEyOAQAAAABMAcAAAAKMTIvMzAvMjAxNggAAAAKMTIvMzEvMjAxNQkAAAABMIDIRl/ft9sIS9klt+O32wguQ0lRLk5ZU0U6TVlSRy5JUV9SRVRVUk5fRVFVSVRZLjEwMDAuMTIvMzAvMjAxNgUAAAAAAAAACAAAABQoSW52YWxpZCBJZGVudGlmaWVyKYDIRl/ft9sIakt0X9+32wgrQ0lRLk5ZU0U6TVRaLklRX0VCSVRfTUFSR0lOLjEwMDAuMTIvMzAvMjAxNgEAAABUngIAAgAAAAYxLjY0NTYBCAAAAAUAAAABMQEAAAAKMTg3NjczNDgwNgMAAAADMTYwAgAAAAQ0MDUzBAAAAAEwBwAAAAoxMi8zMC8yMDE2CAAAAAoxMi8zMS8yMDE1CQAAAAEwgMhGX9+32wiIe5um37fbCCxDSVEuTllTRTpNWVJHLklRX0VCSVRfTUFSR0lOLjEwMDAuMTIvMzAvMjAxNgUAAAAAAAAACAAAABQoSW52YWxpZCBJZGVudGlmaWVyKYDIRl/ft9sIakt0X9+32wgrQ0lRLk5ZU0U6UFdSLklRX0VCSVRf</t>
  </si>
  <si>
    <t>TUFSR0lOLjEwMDAuMTIvMzAvMjAxNgEAAADlggAAAgAAAAYzLjk1NTgBCAAAAAUAAAABMQEAAAAKMTg3NjkyNzU3NQMAAAADMTYwAgAAAAQ0MDUzBAAAAAEwBwAAAAoxMi8zMC8yMDE2CAAAAAoxMi8zMS8yMDE1CQAAAAEwgMhGX9+32wiIe5um37fbCClDSVEuTllTRTpNWVJHLklRX0FSX1RVUk5TLjEwMDAuMTIvMzEvMjAxMwUAAAAAAAAACAAAABQoSW52YWxpZCBJZGVudGlmaWVyKYDIRl/ft9sIakt0X9+32wgvQ0lRLk5ZU0U6TVRaLklRX0lOVkVOVE9SWV9UVVJOUy4xMDAwLjEyLzMxLzIwMTMBAAAAVJ4CAAIAAAAJNDcuNzg0NDcyAQgAAAAFAAAAATEBAAAACjE3NzgxNDYwNzIDAAAAAzE2MAIAAAAENDA4MgQAAAABMAcAAAAKMTIvMzEvMjAxMwgAAAAKMTIvMzEvMjAxMwkAAAABMIDIRl/ft9sIoRKihd+32wgvQ0lRLk5ZU0U6TVRaLklRX0lOVkVOVE9SWV9UVVJOUy4xMDAwLjEyLzMxLzIwMTQBAAAAVJ4CAAIAAAAJNDMuNDc3NjE4AQgAAAAFAAAAATEBAAAACjE4MjkyMjU1MjEDAAAAAzE2MAIAAAAENDA4MgQAAAABMAcAAAAKMTIvMzEvMjAxNAgAAAAKMTIvMzEvMjAxNAkAAAABMIDIRl/ft9sIoRKihd+32wgrQ0lRLk5ZU0U6UFdSLklRX0FTU0VUX1RVUk5TLjEwMDAuMTIvMzEvMjAxMwEAAADlggAAAgAAAAgxLjE3Mjc3NwEIAAAABQAAAAExAQAAAAoxNzc4NjM3NjMzAwAAAAMxNjACAAAABDQx</t>
  </si>
  <si>
    <t>NzcEAAAAATAHAAAACjEyLzMxLzIwMTMIAAAACjEyLzMxLzIwMTMJAAAAATCAyEZf37fbCK45ooXft9sIK0NJUS5OWVNFOlBXUi5JUV9BU1NFVF9UVVJOUy4xMDAwLjEyLzMxLzIwMTQBAAAA5YIAAAIAAAAIMS4yODYxODUBCAAAAAUAAAABMQEAAAAKMTgzMDA2NDY1NgMAAAADMTYwAgAAAAQ0MTc3BAAAAAEwBwAAAAoxMi8zMS8yMDE0CAAAAAoxMi8zMS8yMDE0CQAAAAEwgMhGX9+32wiuOaKF37fbCCtDSVEuTllTRTpNVFouSVFfQVNTRVRfVFVSTlMuMTAwMC4xMi8zMS8yMDE0AQAAAFSeAgACAAAACDEuNDIxODIxAQgAAAAFAAAAATEBAAAACjE4MjkyMjU1MjEDAAAAAzE2MAIAAAAENDE3NwQAAAABMAcAAAAKMTIvMzEvMjAxNAgAAAAKMTIvMzEvMjAxNAkAAAABMIDIRl/ft9sIoRKihd+32wgrQ0lRLk5ZU0U6UFdSLklRX0FTU0VUX1RVUk5TLjEwMDAuMTIvMzEvMjAxNQEAAADlggAAAgAAAAcxLjMyMDcyAQgAAAAFAAAAATEBAAAACjE4NzY5Mjc1NzUDAAAAAzE2MAIAAAAENDE3NwQAAAABMAcAAAAKMTIvMzEvMjAxNQgAAAAKMTIvMzEvMjAxNQkAAAABMIDIRl/ft9sIoRKihd+32wgrQ0lRLk5ZU0U6TVRaLklRX0FTU0VUX1RVUk5TLjEwMDAuMTIvMzEvMjAxNQEAAABUngIAAgAAAAYxLjI5NjYBCAAAAAUAAAABMQEAAAAKMTg3NjczNDgwNgMAAAADMTYwAgAAAAQ0MTc3BAAAAAEwBwAAAAoxMi8zMS8y</t>
  </si>
  <si>
    <t>MDE1CAAAAAoxMi8zMS8yMDE1CQAAAAEwgMhGX9+32wihEqKF37fbCChDSVEuTllTRTpNVFouSVFfQVJfVFVSTlMuMTAwMC4xMi8zMS8yMDE0AQAAAFSeAgACAAAACDMuNzgyODg3AQgAAAAFAAAAATEBAAAACjE4MjkyMjU1MjEDAAAAAzE2MAIAAAAENDAwMQQAAAABMAcAAAAKMTIvMzEvMjAxNAgAAAAKMTIvMzEvMjAxNAkAAAABMIDIRl/ft9sIoRKihd+32wgoQ0lRLk5ZU0U6TVRaLklRX0FSX1RVUk5TLjEwMDAuMTIvMzEvMjAxNQEAAABUngIAAgAAAAgzLjgwMDQzMwEIAAAABQAAAAExAQAAAAoxODc2NzM0ODA2AwAAAAMxNjACAAAABDQwMDEEAAAAATAHAAAACjEyLzMxLzIwMTUIAAAACjEyLzMxLzIwMTUJAAAAATCAyEZf37fbCKESooXft9sIK0NJUS5OWVNFOk1UWi5JUV9BU1NFVF9UVVJOUy4xMDAwLjEyLzMxLzIwMTMBAAAAVJ4CAAIAAAAHMS42MTk5MgEIAAAABQAAAAExAQAAAAoxNzc4MTQ2MDcyAwAAAAMxNjACAAAABDQxNzcEAAAAATAHAAAACjEyLzMxLzIwMTMIAAAACjEyLzMxLzIwMTMJAAAAATCAyEZf37fbCKESooXft9sIKENJUS5OWVNFOlBXUi5JUV9BUl9UVVJOUy4xMDAwLjEyLzMxLzIwMTMBAAAA5YIAAAIAAAAIMy44NTgzODUBCAAAAAUAAAABMQEAAAAKMTc3ODYzNzYzMwMAAAADMTYwAgAAAAQ0MDAxBAAAAAEwBwAAAAoxMi8zMS8yMDEzCAAAAAoxMi8zMS8yMDEzCQAAAAEwgMhG</t>
  </si>
  <si>
    <t>X9+32wihEqKF37fbCChDSVEuTllTRTpQV1IuSVFfQVJfVFVSTlMuMTAwMC4xMi8zMS8yMDE0AQAAAOWCAAACAAAACDQuMTM4MzExAQgAAAAFAAAAATEBAAAACjE4MzAwNjQ2NTYDAAAAAzE2MAIAAAAENDAwMQQAAAABMAcAAAAKMTIvMzEvMjAxNAgAAAAKMTIvMzEvMjAxNAkAAAABMIDIRl/ft9sIoRKihd+32wgoQ0lRLk5ZU0U6UFdSLklRX0FSX1RVUk5TLjEwMDAuMTIvMzEvMjAxNQEAAADlggAAAgAAAAgzLjc1NzYyNwEIAAAABQAAAAExAQAAAAoxODc2OTI3NTc1AwAAAAMxNjACAAAABDQwMDEEAAAAATAHAAAACjEyLzMxLzIwMTUIAAAACjEyLzMxLzIwMTUJAAAAATCAyEZf37fbCKESooXft9sILENJUS5OWVNFOk1ZUkcuSVFfQVNTRVRfVFVSTlMuMTAwMC4xMi8zMS8yMDEzBQAAAAAAAAAIAAAAFChJbnZhbGlkIElkZW50aWZpZXIpgMhGX9+32whqS3Rf37fbCCxDSVEuTllTRTpNWVJHLklRX0FTU0VUX1RVUk5TLjEwMDAuMTIvMzEvMjAxNAUAAAAAAAAACAAAABQoSW52YWxpZCBJZGVudGlmaWVyKYDIRl/ft9sIakt0X9+32wgvQ0lRLk5ZU0U6UFdSLklRX0lOVkVOVE9SWV9UVVJOUy4xMDAwLjEyLzMxLzIwMTMBAAAA5YIAAAIAAAAKMTU0LjY4NDg3OAEIAAAABQAAAAExAQAAAAoxNzc4NjM3NjMzAwAAAAMxNjACAAAABDQwODIEAAAAATAHAAAACjEyLzMxLzIwMTMIAAAACjEyLzMxLzIwMTMJAAAA</t>
  </si>
  <si>
    <t>ATCAyEZf37fbCKESooXft9sILENJUS5OWVNFOk1ZUkcuSVFfQVNTRVRfVFVSTlMuMTAwMC4xMi8zMS8yMDE1BQAAAAAAAAAIAAAAFChJbnZhbGlkIElkZW50aWZpZXIpgMhGX9+32whqS3Rf37fbCC9DSVEuTllTRTpQV1IuSVFfSU5WRU5UT1JZX1RVUk5TLjEwMDAuMTIvMzEvMjAxNAEAAADlggAAAgAAAAoxODUuODM2NzQ2AQgAAAAFAAAAATEBAAAACjE4MzAwNjQ2NTYDAAAAAzE2MAIAAAAENDA4MgQAAAABMAcAAAAKMTIvMzEvMjAxNAgAAAAKMTIvMzEvMjAxNAkAAAABMIDIRl/ft9sIoRKihd+32wgvQ0lRLk5ZU0U6UFdSLklRX0lOVkVOVE9SWV9UVVJOUy4xMDAwLjEyLzMxLzIwMTUBAAAA5YIAAAIAAAAKMTE2LjQzNDcwNQEIAAAABQAAAAExAQAAAAoxODc2OTI3NTc1AwAAAAMxNjACAAAABDQwODIEAAAAATAHAAAACjEyLzMxLzIwMTUIAAAACjEyLzMxLzIwMTUJAAAAATCAyEZf37fbCKESooXft9sIKENJUS5OWVNFOk1UWi5JUV9BUl9UVVJOUy4xMDAwLjEyLzMxLzIwMTMBAAAAVJ4CAAIAAAAINC4yOTkxOTEBCAAAAAUAAAABMQEAAAAKMTc3ODE0NjA3MgMAAAADMTYwAgAAAAQ0MDAxBAAAAAEwBwAAAAoxMi8zMS8yMDEzCAAAAAoxMi8zMS8yMDEzCQAAAAEwgMhGX9+32wib66GF37fbCC9DSVEuTllTRTpNVFouSVFfSU5WRU5UT1JZX1RVUk5TLjEwMDAuMTIvMzEvMjAxNQEAAABUngIAAgAAAAkz</t>
  </si>
  <si>
    <t>Ni41OTA0NDMBCAAAAAUAAAABMQEAAAAKMTg3NjczNDgwNgMAAAADMTYwAgAAAAQ0MDgyBAAAAAEwBwAAAAoxMi8zMS8yMDE1CAAAAAoxMi8zMS8yMDE1CQAAAAEwgMhGX9+32wib66GF37fbCClDSVEuTllTRTpNWVJHLklRX0FSX1RVUk5TLjEwMDAuMTIvMzEvMjAxNAUAAAAAAAAACAAAABQoSW52YWxpZCBJZGVudGlmaWVyKYDIRl/ft9sIakt0X9+32wgpQ0lRLk5ZU0U6TVlSRy5JUV9BUl9UVVJOUy4xMDAwLjEyLzMxLzIwMTUFAAAAAAAAAAgAAAAUKEludmFsaWQgSWRlbnRpZmllcimAyEZf37fbCGpLdF/ft9sIMENJUS5OWVNFOk1ZUkcuSVFfSU5WRU5UT1JZX1RVUk5TLjEwMDAuMTIvMzEvMjAxMwUAAAAAAAAACAAAABQoSW52YWxpZCBJZGVudGlmaWVyKYDIRl/ft9sIakt0X9+32wgwQ0lRLk5ZU0U6TVlSRy5JUV9JTlZFTlRPUllfVFVSTlMuMTAwMC4xMi8zMS8yMDE0BQAAAAAAAAAIAAAAFChJbnZhbGlkIElkZW50aWZpZXIpgMhGX9+32whqS3Rf37fbCDBDSVEuTllTRTpNWVJHLklRX0lOVkVOVE9SWV9UVVJOUy4xMDAwLjEyLzMxLzIwMTUFAAAAAAAAAAgAAAAUKEludmFsaWQgSWRlbnRpZmllcimAyEZf37fbCGpLdF/ft9sIL0NJUS5OWVNFOk1UWi5JUV9JTlZFTlRPUllfVFVSTlMuMTAwMC4xMi8zMC8yMDE2AQAAAFSeAgACAAAACTM2LjU5MDQ0MwEIAAAABQAAAAExAQAAAAoxODc2NzM0ODA2</t>
  </si>
  <si>
    <t>AwAAAAMxNjACAAAABDQwODIEAAAAATAHAAAACjEyLzMwLzIwMTYIAAAACjEyLzMxLzIwMTUJAAAAATCAyEZf37fbCJvroYXft9sIL0NJUS5OWVNFOlBXUi5JUV9JTlZFTlRPUllfVFVSTlMuMTAwMC4xMi8zMC8yMDE2AQAAAOWCAAACAAAACjExNi40MzQ3MDUBCAAAAAUAAAABMQEAAAAKMTg3NjkyNzU3NQMAAAADMTYwAgAAAAQ0MDgyBAAAAAEwBwAAAAoxMi8zMC8yMDE2CAAAAAoxMi8zMS8yMDE1CQAAAAEwgMhGX9+32wib66GF37fbCDBDSVEuTllTRTpNWVJHLklRX0lOVkVOVE9SWV9UVVJOUy4xMDAwLjEyLzMwLzIwMTYFAAAAAAAAAAgAAAAUKEludmFsaWQgSWRlbnRpZmllcimAyEZf37fbCGpLdF/ft9sIKENJUS5OWVNFOk1UWi5JUV9BUl9UVVJOUy4xMDAwLjEyLzMwLzIwMTYBAAAAVJ4CAAIAAAAIMy44MDA0MzMBCAAAAAUAAAABMQEAAAAKMTg3NjczNDgwNgMAAAADMTYwAgAAAAQ0MDAxBAAAAAEwBwAAAAoxMi8zMC8yMDE2CAAAAAoxMi8zMS8yMDE1CQAAAAEwgMhGX9+32wib66GF37fbCChDSVEuTllTRTpQV1IuSVFfQVJfVFVSTlMuMTAwMC4xMi8zMC8yMDE2AQAAAOWCAAACAAAACDMuNzU3NjI3AQgAAAAFAAAAATEBAAAACjE4NzY5Mjc1NzUDAAAAAzE2MAIAAAAENDAwMQQAAAABMAcAAAAKMTIvMzAvMjAxNggAAAAKMTIvMzEvMjAxNQkAAAABMIDIRl/ft9sIm+uhhd+32wgpQ0lRLk5ZU0U6</t>
  </si>
  <si>
    <t>TVlSRy5JUV9BUl9UVVJOUy4xMDAwLjEyLzMwLzIwMTYFAAAAAAAAAAgAAAAUKEludmFsaWQgSWRlbnRpZmllcimAyEZf37fbCGpLdF/ft9sIK0NJUS5OWVNFOlBXUi5JUV9BU1NFVF9UVVJOUy4xMDAwLjEyLzMwLzIwMTYBAAAA5YIAAAIAAAAHMS4zMjA3MgEIAAAABQAAAAExAQAAAAoxODc2OTI3NTc1AwAAAAMxNjACAAAABDQxNzcEAAAAATAHAAAACjEyLzMwLzIwMTYIAAAACjEyLzMxLzIwMTUJAAAAATCAyEZf37fbCJvroYXft9sIK0NJUS5OWVNFOk1UWi5JUV9BU1NFVF9UVVJOUy4xMDAwLjEyLzMwLzIwMTYBAAAAVJ4CAAIAAAAGMS4yOTY2AQgAAAAFAAAAATEBAAAACjE4NzY3MzQ4MDYDAAAAAzE2MAIAAAAENDE3NwQAAAABMAcAAAAKMTIvMzAvMjAxNggAAAAKMTIvMzEvMjAxNQkAAAABMIDIRl/ft9sIm+uhhd+32wgsQ0lRLk5ZU0U6TVlSRy5JUV9BU1NFVF9UVVJOUy4xMDAwLjEyLzMwLzIwMTYFAAAAAAAAAAgAAAAUKEludmFsaWQgSWRlbnRpZmllcimAyEZf37fbCGpLdF/ft9sIMkNJUS5OWVNFOk1UWi5JUV9HUk9TU19NQVJHSU4uMTAwMC4xMi8zMS8yMDE3Li4uVVNEAQAAAFSeAgACAAAABzEzLjA0MTgBCAAAAAUAAAABMQEAAAAKMjAxODA3Njc3OAMAAAADMTYwAgAAAAQ0MDc0BAAAAAEwBwAAAAoxMi8zMS8yMDE3CAAAAAoxMi8zMS8yMDE3CQAAAAEwgMhGX9+32wib66GF37fbCDNDSVEu</t>
  </si>
  <si>
    <t>TllTRTpNWVJHLklRX0dST1NTX01BUkdJTi4xMDAwLjEyLzMxLzIwMTcuLi5VU0QFAAAAAAAAAAgAAAAUKEludmFsaWQgSWRlbnRpZmllcimAyEZf37fbCGpLdF/ft9sIMkNJUS5OWVNFOlBXUi5JUV9HUk9TU19NQVJHSU4uMTAwMC4xMi8zMS8yMDE3Li4uVVNEAQAAAOWCAAACAAAABzEzLjExODUBCAAAAAUAAAABMQEAAAAKMjAxODM5ODM0NwMAAAADMTYwAgAAAAQ0MDc0BAAAAAEwBwAAAAoxMi8zMS8yMDE3CAAAAAoxMi8zMS8yMDE3CQAAAAEwgMhGX9+32wib66GF37fbCClDSVEuTllTRTpNVFouSVFfTklfTUFSR0lOLjEwMDAuMTIvMzEvMjAxNwEAAABUngIAAgAAAAY1LjI1NTIBCAAAAAUAAAABMQEAAAAKMjAxODA3Njc3OAMAAAADMTYwAgAAAAQ0MDk0BAAAAAEwBwAAAAoxMi8zMS8yMDE3CAAAAAoxMi8zMS8yMDE3CQAAAAEwgMhGX9+32whEwJGg37fbCCpDSVEuTllTRTpNWVJHLklRX05JX01BUkdJTi4xMDAwLjEyLzMxLzIwMTcFAAAAAAAAAAgAAAAUKEludmFsaWQgSWRlbnRpZmllcimAyEZf37fbCGpLdF/ft9sIKUNJUS5OWVNFOlBXUi5JUV9OSV9NQVJHSU4uMTAwMC4xMi8zMS8yMDE3AQAAAOWCAAACAAAABjMuMzI3MgEIAAAABQAAAAExAQAAAAoyMDE4Mzk4MzQ3AwAAAAMxNjACAAAABDQwOTQEAAAAATAHAAAACjEyLzMxLzIwMTcIAAAACjEyLzMxLzIwMTcJAAAAATCAyEZf37fbCETAkaDf</t>
  </si>
  <si>
    <t>t9sIM0NJUS5OWVNFOlBXUi5JUV9FQklUREFfTUFSR0lOLjEwMDAuMTIvMzEvMjAxNy4uLlVTRAEAAADlggAAAgAAAAY2Ljg0MjUBCAAAAAUAAAABMQEAAAAKMjAxODM5ODM0NwMAAAADMTYwAgAAAAQ0MDQ3BAAAAAEwBwAAAAoxMi8zMS8yMDE3CAAAAAoxMi8zMS8yMDE3CQAAAAEwgMhGX9+32wiaBZWu37fbCDRDSVEuTllTRTpNWVJHLklRX0VCSVREQV9NQVJHSU4uMTAwMC4xMi8zMS8yMDE3Li4uVVNEBQAAAAAAAAAIAAAAFChJbnZhbGlkIElkZW50aWZpZXIpgMhGX9+32whqS3Rf37fbCDNDSVEuTllTRTpNVFouSVFfRUJJVERBX01BUkdJTi4xMDAwLjEyLzMxLzIwMTcuLi5VU0QBAAAAVJ4CAAIAAAAFOC44ODcBCAAAAAUAAAABMQEAAAAKMjAxODA3Njc3OAMAAAADMTYwAgAAAAQ0MDQ3BAAAAAEwBwAAAAoxMi8zMS8yMDE3CAAAAAoxMi8zMS8yMDE3CQAAAAEwgMhGX9+32wiaBZWu37fbCC1DSVEuTllTRTpQV1IuSVFfUkVUVVJOX0FTU0VUUy4xMDAwLjEyLzMxLzIwMTcBAAAA5YIAAAIAAAAGNC41NjAyAQgAAAAFAAAAATEBAAAACjIwMTgzOTgzNDcDAAAAAzE2MAIAAAAENDE3OAQAAAABMAcAAAAKMTIvMzEvMjAxNwgAAAAKMTIvMzEvMjAxNwkAAAABMIDIRl/ft9sImgWVrt+32wgtQ0lRLk5ZU0U6TVRaLklRX1JFVFVSTl9BU1NFVFMuMTAwMC4xMi8zMS8yMDE3AQAAAFSeAgACAAAABjYuODgxNgEI</t>
  </si>
  <si>
    <t>AAAABQAAAAExAQAAAAoyMDE4MDc2Nzc4AwAAAAMxNjACAAAABDQxNzgEAAAAATAHAAAACjEyLzMxLzIwMTcIAAAACjEyLzMxLzIwMTcJAAAAATCAyEZf37fbCJoFla7ft9sILkNJUS5OWVNFOk1ZUkcuSVFfUkVUVVJOX0FTU0VUUy4xMDAwLjEyLzMxLzIwMTcFAAAAAAAAAAgAAAAUKEludmFsaWQgSWRlbnRpZmllcimAyEZf37fbCGpLdF/ft9sIK0NJUS5OWVNFOk1UWi5JUV9FQklUX01BUkdJTi4xMDAwLjEyLzMxLzIwMTcBAAAAVJ4CAAIAAAAGNi4wNDA4AQgAAAAFAAAAATEBAAAACjIwMTgwNzY3NzgDAAAAAzE2MAIAAAAENDA1MwQAAAABMAcAAAAKMTIvMzEvMjAxNwgAAAAKMTIvMzEvMjAxNwkAAAABMIDIRl/ft9sIiHubpt+32wgrQ0lRLk5ZU0U6UFdSLklRX0VCSVRfTUFSR0lOLjEwMDAuMTIvMzEvMjAxNwEAAADlggAAAgAAAAY0LjU2MDYBCAAAAAUAAAABMQEAAAAKMjAxODM5ODM0NwMAAAADMTYwAgAAAAQ0MDUzBAAAAAEwBwAAAAoxMi8zMS8yMDE3CAAAAAoxMi8zMS8yMDE3CQAAAAEwgMhGX9+32wiIe5um37fbCCxDSVEuTllTRTpNWVJHLklRX0VCSVRfTUFSR0lOLjEwMDAuMTIvMzEvMjAxNwUAAAAAAAAACAAAABQoSW52YWxpZCBJZGVudGlmaWVyKYDIRl/ft9sIakt0X9+32wgtQ0lRLk5ZU0U6UFdSLklRX1JFVFVSTl9FUVVJVFkuMTAwMC4xMi8zMS8yMDE3AQAAAOWCAAACAAAABjguOTE1</t>
  </si>
  <si>
    <t>OQEIAAAABQAAAAExAQAAAAoyMDE4Mzk4MzQ3AwAAAAMxNjACAAAABDQxMjgEAAAAATAHAAAACjEyLzMxLzIwMTcIAAAACjEyLzMxLzIwMTcJAAAAATCAyEZf37fbCEvZJbfjt9sILUNJUS5OWVNFOk1UWi5JUV9SRVRVUk5fRVFVSVRZLjEwMDAuMTIvMzEvMjAxNwEAAABUngIAAgAAAAcyNy41MDM4AQgAAAAFAAAAATEBAAAACjIwMTgwNzY3NzgDAAAAAzE2MAIAAAAENDEyOAQAAAABMAcAAAAKMTIvMzEvMjAxNwgAAAAKMTIvMzEvMjAxNwkAAAABMIDIRl/ft9sIS9klt+O32wguQ0lRLk5ZU0U6TVlSRy5JUV9SRVRVUk5fRVFVSVRZLjEwMDAuMTIvMzEvMjAxNwUAAAAAAAAACAAAABQoSW52YWxpZCBJZGVudGlmaWVyKYDIRl/ft9sIakt0X9+32wgnQ0lRLk5ZU0U6TVlSRy5JUV9FQklUREFfSU5ULjEwMDAuLi4uVVNEBQAAAAAAAAAIAAAAFChJbnZhbGlkIElkZW50aWZpZXIpgMhGX9+32whqS3Rf37fbCCFDSVEuTllTRTpNVFouSVFfVE9UQUxfREVCVF9FQklUREEBAAAAVJ4CAAIAAAAIMi42MjI0MTcBCAAAAAUAAAABMQEAAAALLTIwMzU3NTk2NTUDAAAAAzE2MAIAAAAENDE5MgQAAAABMAcAAAAJOS8xOC8yMDIzCAAAAAk2LzMwLzIwMjMJAAAAATCAyEZf37fbCLP1n4Xft9sIIkNJUS5OWVNFOk1ZUkcuSVFfVE9UQUxfREVCVF9FQklUREEFAAAAAAAAAAgAAAAUKEludmFsaWQgSWRlbnRpZmllcimAyEZf</t>
  </si>
  <si>
    <t>37fbCGpLdF/ft9sIMkNJUS5OWVNFOk1UWi5JUV9UT1RBTF9ERUJUX0NBUElUQUwuMTAwMC4xMi8zMS8yMDEzAQAAAFSeAgACAAAABjQ0LjQ0MwEIAAAABQAAAAExAQAAAAoxNzc4MTQ2MDcyAwAAAAMxNjACAAAABDQxODYEAAAAATAHAAAACjEyLzMxLzIwMTMIAAAACjEyLzMxLzIwMTMJAAAAATCAyEZf37fbCLP1n4Xft9sIJ0NJUS5OWVNFOlBXUi5JUV9UT1RBTF9ERUJUX0VRVUlUWS4xMDAwLgEAAADlggAAAgAAAAc3My42MzYzAQgAAAAFAAAAATEBAAAACy0yMDU5NzQxMzczAwAAAAMxNjACAAAABDQwMzQEAAAAATAHAAAACTkvMTgvMjAyMwgAAAAKMTIvMzEvMjAyMgkAAAABMIDIRl/ft9sIgMhGX9+32wgyQ0lRLk5ZU0U6TVRaLklRX1RPVEFMX0RFQlRfQ0FQSVRBTC4xMDAwLjEyLzMxLzIwMTQBAAAAVJ4CAAIAAAAGNDkuNzA5AQgAAAAFAAAAATEBAAAACjE4MjkyMjU1MjEDAAAAAzE2MAIAAAAENDE4NgQAAAABMAcAAAAKMTIvMzEvMjAxNAgAAAAKMTIvMzEvMjAxNAkAAAABMIDIRl/ft9sIs/Wfhd+32wgyQ0lRLk5ZU0U6TVRaLklRX1RPVEFMX0RFQlRfQ0FQSVRBTC4xMDAwLjEyLzMxLzIwMTUBAAAAVJ4CAAIAAAAHNTEuNzExNQEIAAAABQAAAAExAQAAAAoxODc2NzM0ODA2AwAAAAMxNjACAAAABDQxODYEAAAAATAHAAAACjEyLzMxLzIwMTUIAAAACjEyLzMxLzIwMTUJAAAAATCAyEZf37fbCLP1</t>
  </si>
  <si>
    <t>n4Xft9sIKENJUS5OWVNFOk1UWi5JUV9UT1RBTF9ERUJUX0NBUElUQUwuMTAwMC4BAAAAVJ4CAAIAAAAHNTYuMTgyMQEIAAAABQAAAAExAQAAAAstMjA1NjkxOTQyNgMAAAADMTYwAgAAAAQ0MTg2BAAAAAEwBwAAAAk5LzE4LzIwMjMIAAAACjEyLzMxLzIwMjIJAAAAATCAyEZf37fbCIDIRl/ft9sIKUNJUS5OWVNFOk1ZUkcuSVFfVE9UQUxfREVCVF9DQVBJVEFMLjEwMDAuBQAAAAAAAAAIAAAAFChJbnZhbGlkIElkZW50aWZpZXIpgMhGX9+32wiAyEZf37fbCCFDSVEuTllTRTpQV1IuSVFfVE9UQUxfREVCVF9FQklUREEBAAAA5YIAAAIAAAAIMS43MzQyMTIBCAAAAAUAAAABMQEAAAALLTIwMzU3NzU5MTADAAAAAzE2MAIAAAAENDE5MgQAAAABMAcAAAAJOS8xOC8yMDIzCAAAAAk2LzMwLzIwMjMJAAAAATCAyEZf37fbCLP1n4Xft9sINUNJUS5OWVNFOk1UWi5JUV9ORVRfREVCVF9FQklUREEuMTAwMC4xMi8zMS8yMDEzLi4uVVNEAQAAAFSeAgACAAAACDEuODUwODc1AQgAAAAFAAAAATEBAAAACjE3NzgxNDYwNzIDAAAAAzE2MAIAAAAENDE5MwQAAAABMAcAAAAKMTIvMzEvMjAxMwgAAAAKMTIvMzEvMjAxMwkAAAABMIDIRl/ft9sIs/Wfhd+32wgxQ0lRLk5ZU0U6TVRaLklRX1RPVEFMX0RFQlRfRVFVSVRZLjEwMDAuMTIvMzEvMjAxNAEAAABUngIAAgAAAAc5OC44NDI4AQgAAAAFAAAAATEBAAAACjE4Mjky</t>
  </si>
  <si>
    <t>MjU1MjEDAAAAAzE2MAIAAAAENDAzNAQAAAABMAcAAAAKMTIvMzEvMjAxNAgAAAAKMTIvMzEvMjAxNAkAAAABMIDIRl/ft9sIs/Wfhd+32wgyQ0lRLk5ZU0U6UFdSLklRX1RPVEFMX0RFQlRfQ0FQSVRBTC4xMDAwLjEyLzMxLzIwMTMBAAAA5YIAAAIAAAAGMC4wNTI2AQgAAAAFAAAAATEBAAAACjE3Nzg2Mzc2MzMDAAAAAzE2MAIAAAAENDE4NgQAAAABMAcAAAAKMTIvMzEvMjAxMwgAAAAKMTIvMzEvMjAxMwkAAAABMIDIRl/ft9sIs/Wfhd+32wg2Q0lRLk5ZU0U6TVlSRy5JUV9ORVRfREVCVF9FQklUREEuMTAwMC4xMi8zMS8yMDE0Li4uVVNEBQAAAAAAAAAIAAAAFChJbnZhbGlkIElkZW50aWZpZXIpgMhGX9+32whqS3Rf37fbCDJDSVEuTllTRTpQV1IuSVFfVE9UQUxfREVCVF9DQVBJVEFMLjEwMDAuMTIvMzEvMjAxNQEAAADlggAAAgAAAAcxMy41MTI1AQgAAAAFAAAAATEBAAAACjE4NzY5Mjc1NzUDAAAAAzE2MAIAAAAENDE4NgQAAAABMAcAAAAKMTIvMzEvMjAxNQgAAAAKMTIvMzEvMjAxNQkAAAABMIDIRl/ft9sIs/Wfhd+32wgrQ0lRLk5ZU0U6UFdSLklRX05FVF9ERUJUX0VCSVREQS4xMDAwLi4uLlVTRAEAAADlggAAAgAAAAgxLjM5MzY3OQEIAAAABQAAAAExAQAAAAstMjA1OTc0MTM3MwMAAAADMTYwAgAAAAQ0MTkzBAAAAAEwBwAAAAk5LzE4LzIwMjMIAAAACjEyLzMxLzIwMjIJAAAAATCAyEZf</t>
  </si>
  <si>
    <t>37fbCIDIRl/ft9sILENJUS5OWVNFOk1ZUkcuSVFfTkVUX0RFQlRfRUJJVERBLjEwMDAuLi4uVVNEBQAAAAAAAAAIAAAAFChJbnZhbGlkIElkZW50aWZpZXIpgMhGX9+32wiAyEZf37fbCCZDSVEuTllTRTpQV1IuSVFfRUJJVERBX0lOVC4xMDAwLi4uLlVTRAEAAADlggAAAgAAAAkyMC40NjQ2OTYBCAAAAAUAAAABMQEAAAALLTIwNTk3NDEzNzMDAAAAAzE2MAIAAAAENDE5MAQAAAABMAcAAAAJOS8xOC8yMDIzCAAAAAoxMi8zMS8yMDIyCQAAAAEwgMhGX9+32wiz9Z+F37fbCDFDSVEuTllTRTpNVFouSVFfVE9UQUxfREVCVF9FUVVJVFkuMTAwMC4xMi8zMS8yMDEzAQAAAFSeAgACAAAABzc5Ljk5NTUBCAAAAAUAAAABMQEAAAAKMTc3ODE0NjA3MgMAAAADMTYwAgAAAAQ0MDM0BAAAAAEwBwAAAAoxMi8zMS8yMDEzCAAAAAoxMi8zMS8yMDEzCQAAAAEwgMhGX9+32wiz9Z+F37fbCDZDSVEuTllTRTpNWVJHLklRX05FVF9ERUJUX0VCSVREQS4xMDAwLjEyLzMxLzIwMTMuLi5VU0QFAAAAAAAAAAgAAAAUKEludmFsaWQgSWRlbnRpZmllcimAyEZf37fbCGpLdF/ft9sIMUNJUS5OWVNFOk1UWi5JUV9UT1RBTF9ERUJUX0VRVUlUWS4xMDAwLjEyLzMxLzIwMTUBAAAAVJ4CAAIAAAAHMTA3LjA4OQEIAAAABQAAAAExAQAAAAoxODc2NzM0ODA2AwAAAAMxNjACAAAABDQwMzQEAAAAATAHAAAACjEyLzMxLzIwMTUIAAAA</t>
  </si>
  <si>
    <t>CjEyLzMxLzIwMTUJAAAAATCAyEZf37fbCLP1n4Xft9sIMkNJUS5OWVNFOlBXUi5JUV9UT1RBTF9ERUJUX0NBUElUQUwuMTAwMC4xMi8zMS8yMDE0AQAAAOWCAAACAAAABjEuNzY2MQEIAAAABQAAAAExAQAAAAoxODMwMDY0NjU2AwAAAAMxNjACAAAABDQxODYEAAAAATAHAAAACjEyLzMxLzIwMTQIAAAACjEyLzMxLzIwMTQJAAAAATCAyEZf37fbCLP1n4Xft9sINkNJUS5OWVNFOk1ZUkcuSVFfTkVUX0RFQlRfRUJJVERBLjEwMDAuMTIvMzEvMjAxNS4uLlVTRAUAAAAAAAAACAAAABQoSW52YWxpZCBJZGVudGlmaWVyKYDIRl/ft9sIakt0X9+32wgnQ0lRLk5ZU0U6TVRaLklRX1RPVEFMX0RFQlRfRVFVSVRZLjEwMDAuAQAAAFSeAgACAAAACDEyOC4yMTcyAQgAAAAFAAAAATEBAAAACy0yMDU2OTE5NDI2AwAAAAMxNjACAAAABDQwMzQEAAAAATAHAAAACTkvMTgvMjAyMwgAAAAKMTIvMzEvMjAyMgkAAAABMIDIRl/ft9sIgMhGX9+32wgoQ0lRLk5ZU0U6UFdSLklRX1RPVEFMX0RFQlRfQ0FQSVRBTC4xMDAwLgEAAADlggAAAgAAAAc0Mi40MDgzAQgAAAAFAAAAATEBAAAACy0yMDU5NzQxMzczAwAAAAMxNjACAAAABDQxODYEAAAAATAHAAAACTkvMTgvMjAyMwgAAAAKMTIvMzEvMjAyMgkAAAABMIDIRl/ft9sIgMhGX9+32wgmQ0lRLk5ZU0U6TVRaLklRX0VCSVREQV9JTlQuMTAwMC4uLi5VU0QBAAAAVJ4CAAIA</t>
  </si>
  <si>
    <t>AAAJMTEuMDY4MjY0AQgAAAAFAAAAATEBAAAACy0yMDU2OTE5NDI2AwAAAAMxNjACAAAABDQxOTAEAAAAATAHAAAACTkvMTgvMjAyMwgAAAAKMTIvMzEvMjAyMgkAAAABMIDIRl/ft9sIs/Wfhd+32wgyQ0lRLk5ZU0U6TVlSRy5JUV9UT1RBTF9ERUJUX0VRVUlUWS4xMDAwLjEyLzMxLzIwMTMFAAAAAAAAAAgAAAAUKEludmFsaWQgSWRlbnRpZmllcimAyEZf37fbCGpLdF/ft9sIKENJUS5OWVNFOk1ZUkcuSVFfVE9UQUxfREVCVF9FUVVJVFkuMTAwMC4FAAAAAAAAAAgAAAAUKEludmFsaWQgSWRlbnRpZmllcimAyEZf37fbCIDIRl/ft9sIMUNJUS5OWVNFOlBXUi5JUV9UT1RBTF9ERUJUX0VRVUlUWS4xMDAwLjEyLzMxLzIwMTMBAAAA5YIAAAIAAAAGMC4wNTI2AQgAAAAFAAAAATEBAAAACjE3Nzg2Mzc2MzMDAAAAAzE2MAIAAAAENDAzNAQAAAABMAcAAAAKMTIvMzEvMjAxMwgAAAAKMTIvMzEvMjAxMwkAAAABMIDIRl/ft9sIs/Wfhd+32wgxQ0lRLk5ZU0U6UFdSLklRX1RPVEFMX0RFQlRfRVFVSVRZLjEwMDAuMTIvMzEvMjAxNAEAAADlggAAAgAAAAYxLjc5NzkBCAAAAAUAAAABMQEAAAAKMTgzMDA2NDY1NgMAAAADMTYwAgAAAAQ0MDM0BAAAAAEwBwAAAAoxMi8zMS8yMDE0CAAAAAoxMi8zMS8yMDE0CQAAAAEwgMhGX9+32wiz9Z+F37fbCDFDSVEuTllTRTpQV1IuSVFfVE9UQUxfREVCVF9FUVVJVFkuMTAw</t>
  </si>
  <si>
    <t>MC4xMi8zMS8yMDE1AQAAAOWCAAACAAAABzE1LjYyMzcBCAAAAAUAAAABMQEAAAAKMTg3NjkyNzU3NQMAAAADMTYwAgAAAAQ0MDM0BAAAAAEwBwAAAAoxMi8zMS8yMDE1CAAAAAoxMi8zMS8yMDE1CQAAAAEwgMhGX9+32wiz9Z+F37fbCDVDSVEuTllTRTpNVFouSVFfTkVUX0RFQlRfRUJJVERBLjEwMDAuMTIvMzEvMjAxNC4uLlVTRAEAAABUngIAAgAAAAgyLjc3MTA0MgEIAAAABQAAAAExAQAAAAoxODI5MjI1NTIxAwAAAAMxNjACAAAABDQxOTMEAAAAATAHAAAACjEyLzMxLzIwMTQIAAAACjEyLzMxLzIwMTQJAAAAATCAyEZf37fbCFWTnYXft9sINUNJUS5OWVNFOk1UWi5JUV9ORVRfREVCVF9FQklUREEuMTAwMC4xMi8zMS8yMDE1Li4uVVNEAQAAAFSeAgACAAAABzQuMjA3NjcBCAAAAAUAAAABMQEAAAAKMTg3NjczNDgwNgMAAAADMTYwAgAAAAQ0MTkzBAAAAAEwBwAAAAoxMi8zMS8yMDE1CAAAAAoxMi8zMS8yMDE1CQAAAAEwgMhGX9+32whVk52F37fbCCtDSVEuTllTRTpNVFouSVFfTkVUX0RFQlRfRUJJVERBLjEwMDAuLi4uVVNEAQAAAFSeAgACAAAACDIuNTMwMzUzAQgAAAAFAAAAATEBAAAACy0yMDU2OTE5NDI2AwAAAAMxNjACAAAABDQxOTMEAAAAATAHAAAACTkvMTgvMjAyMwgAAAAKMTIvMzEvMjAyMgkAAAABMIDIRl/ft9sIgMhGX9+32wg1Q0lRLk5ZU0U6UFdSLklRX05FVF9ERUJUX0VCSVRE</t>
  </si>
  <si>
    <t>QS4xMDAwLjEyLzMxLzIwMTMuLi5VU0QBAAAA5YIAAAMAAAACTk0BCAAAAAUAAAABMQEAAAAKMTc3ODYzNzYzMwMAAAADMTYwAgAAAAQ0MTkzBAAAAAEwBwAAAAoxMi8zMS8yMDEzCAAAAAoxMi8zMS8yMDEzCQAAAAEwgMhGX9+32whVk52F37fbCDJDSVEuTllTRTpNWVJHLklRX1RPVEFMX0RFQlRfRVFVSVRZLjEwMDAuMTIvMzEvMjAxNAUAAAAAAAAACAAAABQoSW52YWxpZCBJZGVudGlmaWVyKYDIRl/ft9sIakt0X9+32wg1Q0lRLk5ZU0U6UFdSLklRX05FVF9ERUJUX0VCSVREQS4xMDAwLjEyLzMxLzIwMTQuLi5VU0QBAAAA5YIAAAMAAAACTk0BCAAAAAUAAAABMQEAAAAKMTgzMDA2NDY1NgMAAAADMTYwAgAAAAQ0MTkzBAAAAAEwBwAAAAoxMi8zMS8yMDE0CAAAAAoxMi8zMS8yMDE0CQAAAAEwgMhGX9+32whVk52F37fbCDJDSVEuTllTRTpNWVJHLklRX1RPVEFMX0RFQlRfRVFVSVRZLjEwMDAuMTIvMzEvMjAxNQUAAAAAAAAACAAAABQoSW52YWxpZCBJZGVudGlmaWVyKYDIRl/ft9sIakt0X9+32wgzQ0lRLk5ZU0U6TVlSRy5JUV9UT1RBTF9ERUJUX0NBUElUQUwuMTAwMC4xMi8zMS8yMDEzBQAAAAAAAAAIAAAAFChJbnZhbGlkIElkZW50aWZpZXIpgMhGX9+32whqS3Rf37fbCDVDSVEuTllTRTpQV1IuSVFfTkVUX0RFQlRfRUJJVERBLjEwMDAuMTIvMzEvMjAxNS4uLlVTRAEAAADlggAAAgAAAAgwLjcx</t>
  </si>
  <si>
    <t>MTIzNgEIAAAABQAAAAExAQAAAAoxODc2OTI3NTc1AwAAAAMxNjACAAAABDQxOTMEAAAAATAHAAAACjEyLzMxLzIwMTUIAAAACjEyLzMxLzIwMTUJAAAAATCAyEZf37fbCFWTnYXft9sIM0NJUS5OWVNFOk1ZUkcuSVFfVE9UQUxfREVCVF9DQVBJVEFMLjEwMDAuMTIvMzEvMjAxNAUAAAAAAAAACAAAABQoSW52YWxpZCBJZGVudGlmaWVyKYDIRl/ft9sIakt0X9+32wgzQ0lRLk5ZU0U6TVlSRy5JUV9UT1RBTF9ERUJUX0NBUElUQUwuMTAwMC4xMi8zMS8yMDE1BQAAAAAAAAAIAAAAFChJbnZhbGlkIElkZW50aWZpZXIpgMhGX9+32whqS3Rf37fbCCtDSVEuTllTRTpNVFouSVFfQVNTRVRfVFVSTlMuMTAwMC4xMi8zMS8yMDE3AQAAAFSeAgACAAAACDEuODIyNjg4AQgAAAAFAAAAATEBAAAACjIwMTgwNzY3NzgDAAAAAzE2MAIAAAAENDE3NwQAAAABMAcAAAAKMTIvMzEvMjAxNwgAAAAKMTIvMzEvMjAxNwkAAAABMIDIRl/ft9sIVZOdhd+32wgrQ0lRLk5ZU0U6UFdSLklRX0FTU0VUX1RVUk5TLjEwMDAuMTIvMzEvMjAxNwEAAADlggAAAgAAAAgxLjU5OTg0OQEIAAAABQAAAAExAQAAAAoyMDE4Mzk4MzQ3AwAAAAMxNjACAAAABDQxNzcEAAAAATAHAAAACjEyLzMxLzIwMTcIAAAACjEyLzMxLzIwMTcJAAAAATCAyEZf37fbCFWTnYXft9sILENJUS5OWVNFOk1ZUkcuSVFfQVNTRVRfVFVSTlMuMTAwMC4xMi8zMS8y</t>
  </si>
  <si>
    <t>MDE3BQAAAAAAAAAIAAAAFChJbnZhbGlkIElkZW50aWZpZXIpgMhGX9+32whqS3Rf37fbCChDSVEuTllTRTpNVFouSVFfQVJfVFVSTlMuMTAwMC4xMi8zMS8yMDE3AQAAAFSeAgACAAAACDQuNzk4MDE1AQgAAAAFAAAAATEBAAAACjIwMTgwNzY3NzgDAAAAAzE2MAIAAAAENDAwMQQAAAABMAcAAAAKMTIvMzEvMjAxNwgAAAAKMTIvMzEvMjAxNwkAAAABMIDIRl/ft9sIVZOdhd+32wgoQ0lRLk5ZU0U6UFdSLklRX0FSX1RVUk5TLjEwMDAuMTIvMzEvMjAxNwEAAADlggAAAgAAAAg0LjI0OTA2NgEIAAAABQAAAAExAQAAAAoyMDE4Mzk4MzQ3AwAAAAMxNjACAAAABDQwMDEEAAAAATAHAAAACjEyLzMxLzIwMTcIAAAACjEyLzMxLzIwMTcJAAAAATCAyEZf37fbCFWTnYXft9sIKUNJUS5OWVNFOk1ZUkcuSVFfQVJfVFVSTlMuMTAwMC4xMi8zMS8yMDE3BQAAAAAAAAAIAAAAFChJbnZhbGlkIElkZW50aWZpZXIpgMhGX9+32whqS3Rf37fbCC9DSVEuTllTRTpNVFouSVFfSU5WRU5UT1JZX1RVUk5TLjEwMDAuMTIvMzEvMjAxNwEAAABUngIAAgAAAAg2MS4xMTI4MQEIAAAABQAAAAExAQAAAAoyMDE4MDc2Nzc4AwAAAAMxNjACAAAABDQwODIEAAAAATAHAAAACjEyLzMxLzIwMTcIAAAACjEyLzMxLzIwMTcJAAAAATCAyEZf37fbCFWTnYXft9sIL0NJUS5OWVNFOlBXUi5JUV9JTlZFTlRPUllfVFVSTlMuMTAwMC4xMi8z</t>
  </si>
  <si>
    <t>MS8yMDE3AQAAAOWCAAACAAAACDk3LjA4MTE1AQgAAAAFAAAAATEBAAAACjIwMTgzOTgzNDcDAAAAAzE2MAIAAAAENDA4MgQAAAABMAcAAAAKMTIvMzEvMjAxNwgAAAAKMTIvMzEvMjAxNwkAAAABMIDIRl/ft9sIVZOdhd+32wgwQ0lRLk5ZU0U6TVlSRy5JUV9JTlZFTlRPUllfVFVSTlMuMTAwMC4xMi8zMS8yMDE3BQAAAAAAAAAIAAAAFChJbnZhbGlkIElkZW50aWZpZXIpgMhGX9+32whqS3Rf37fbCDVDSVEuTllTRTpQV1IuSVFfTkVUX0RFQlRfRUJJVERBLjEwMDAuMTIvMzAvMjAxNi4uLlVTRAEAAADlggAAAgAAAAgwLjcxMTIzNgEIAAAABQAAAAExAQAAAAoxODc2OTI3NTc1AwAAAAMxNjACAAAABDQxOTMEAAAAATAHAAAACjEyLzMwLzIwMTYIAAAACjEyLzMxLzIwMTUJAAAAATCAyEZf37fbCFWTnYXft9sINUNJUS5OWVNFOk1UWi5JUV9ORVRfREVCVF9FQklUREEuMTAwMC4xMi8zMC8yMDE2Li4uVVNEAQAAAFSeAgACAAAABzQuMjA3NjcBCAAAAAUAAAABMQEAAAAKMTg3NjczNDgwNgMAAAADMTYwAgAAAAQ0MTkzBAAAAAEwBwAAAAoxMi8zMC8yMDE2CAAAAAoxMi8zMS8yMDE1CQAAAAEwgMhGX9+32whVk52F37fbCDZDSVEuTllTRTpNWVJHLklRX05FVF9ERUJUX0VCSVREQS4xMDAwLjEyLzMwLzIwMTYuLi5VU0QFAAAAAAAAAAgAAAAUKEludmFsaWQgSWRlbnRpZmllcimAyEZf37fbCGpLdF/ft9sI</t>
  </si>
  <si>
    <t>MkNJUS5OWVNFOlBXUi5JUV9UT1RBTF9ERUJUX0NBUElUQUwuMTAwMC4xMi8zMC8yMDE2AQAAAOWCAAACAAAABzEzLjUxMjUBCAAAAAUAAAABMQEAAAAKMTg3NjkyNzU3NQMAAAADMTYwAgAAAAQ0MTg2BAAAAAEwBwAAAAoxMi8zMC8yMDE2CAAAAAoxMi8zMS8yMDE1CQAAAAEwgMhGX9+32whVk52F37fbCDJDSVEuTllTRTpNVFouSVFfVE9UQUxfREVCVF9DQVBJVEFMLjEwMDAuMTIvMzAvMjAxNgEAAABUngIAAgAAAAc1MS43MTE1AQgAAAAFAAAAATEBAAAACjE4NzY3MzQ4MDYDAAAAAzE2MAIAAAAENDE4NgQAAAABMAcAAAAKMTIvMzAvMjAxNggAAAAKMTIvMzEvMjAxNQkAAAABMIDIRl/ft9sIVZOdhd+32wgzQ0lRLk5ZU0U6TVlSRy5JUV9UT1RBTF9ERUJUX0NBUElUQUwuMTAwMC4xMi8zMC8yMDE2BQAAAAAAAAAIAAAAFChJbnZhbGlkIElkZW50aWZpZXIpgMhGX9+32whqS3Rf37fbCDJDSVEuTllTRTpNWVJHLklRX1RPVEFMX0RFQlRfRVFVSVRZLjEwMDAuMTIvMzAvMjAxNgUAAAAAAAAACAAAABQoSW52YWxpZCBJZGVudGlmaWVyKYDIRl/ft9sIakt0X9+32wgxQ0lRLk5ZU0U6TVRaLklRX1RPVEFMX0RFQlRfRVFVSVRZLjEwMDAuMTIvMzAvMjAxNgEAAABUngIAAgAAAAcxMDcuMDg5AQgAAAAFAAAAATEBAAAACjE4NzY3MzQ4MDYDAAAAAzE2MAIAAAAENDAzNAQAAAABMAcAAAAKMTIvMzAvMjAxNggA</t>
  </si>
  <si>
    <t>AAAKMTIvMzEvMjAxNQkAAAABMIDIRl/ft9sIVZOdhd+32wgxQ0lRLk5ZU0U6UFdSLklRX1RPVEFMX0RFQlRfRVFVSVRZLjEwMDAuMTIvMzAvMjAxNgEAAADlggAAAgAAAAcxNS42MjM3AQgAAAAFAAAAATEBAAAACjE4NzY5Mjc1NzUDAAAAAzE2MAIAAAAENDAzNAQAAAABMAcAAAAKMTIvMzAvMjAxNggAAAAKMTIvMzEvMjAxNQkAAAABMIDIRl/ft9sIVZOdhd+32wgtQ0lRLk5ZU0U6TVRaLklRX1JFVFVSTl9FUVVJVFkuMTAwMC4xMi8zMS8yMDE4AQAAAFSeAgACAAAABzE4LjM1MDEBCAAAAAUAAAABMQEAAAAKMjA4MTk2ODY4NAMAAAADMTYwAgAAAAQ0MTI4BAAAAAEwBwAAAAoxMi8zMS8yMDE4CAAAAAoxMi8zMS8yMDE4CQAAAAEwgMhGX9+32whL2SW347fbCC1DSVEuTllTRTpQV1IuSVFfUkVUVVJOX0VRVUlUWS4xMDAwLjEyLzMxLzIwMTgBAAAA5YIAAAIAAAAFNy45OTkBCAAAAAUAAAABMQEAAAAKMjA4MjQ4MTI3MQMAAAADMTYwAgAAAAQ0MTI4BAAAAAEwBwAAAAoxMi8zMS8yMDE4CAAAAAoxMi8zMS8yMDE4CQAAAAEwgMhGX9+32whL2SW347fbCC5DSVEuTllTRTpNWVJHLklRX1JFVFVSTl9FUVVJVFkuMTAwMC4xMi8zMS8yMDE4BQAAAAAAAAAIAAAAFChJbnZhbGlkIElkZW50aWZpZXIpgMhGX9+32whqS3Rf37fbCC1DSVEuTllTRTpQV1IuSVFfUkVUVVJOX0FTU0VUUy4xMDAwLjEyLzMxLzIwMTgB</t>
  </si>
  <si>
    <t>AAAA5YIAAAIAAAAGNS4zMzM0AQgAAAAFAAAAATEBAAAACjIwODI0ODEyNzEDAAAAAzE2MAIAAAAENDE3OAQAAAABMAcAAAAKMTIvMzEvMjAxOAgAAAAKMTIvMzEvMjAxOAkAAAABMIDIRl/ft9sImgWVrt+32wgtQ0lRLk5ZU0U6TVRaLklRX1JFVFVSTl9BU1NFVFMuMTAwMC4xMi8zMS8yMDE4AQAAAFSeAgACAAAABTYuOTA1AQgAAAAFAAAAATEBAAAACjIwODE5Njg2ODQDAAAAAzE2MAIAAAAENDE3OAQAAAABMAcAAAAKMTIvMzEvMjAxOAgAAAAKMTIvMzEvMjAxOAkAAAABMIDIRl/ft9sImgWVrt+32wguQ0lRLk5ZU0U6TVlSRy5JUV9SRVRVUk5fQVNTRVRTLjEwMDAuMTIvMzEvMjAxOAUAAAAAAAAACAAAABQoSW52YWxpZCBJZGVudGlmaWVyKYDIRl/ft9sIakt0X9+32wgzQ0lRLk5ZU0U6UFdSLklRX0VCSVREQV9NQVJHSU4uMTAwMC4xMi8zMS8yMDE4Li4uVVNEAQAAAOWCAAACAAAABTcuMzg0AQgAAAAFAAAAATEBAAAACjIwODI0ODEyNzEDAAAAAzE2MAIAAAAENDA0NwQAAAABMAcAAAAKMTIvMzEvMjAxOAgAAAAKMTIvMzEvMjAxOAkAAAABMIDIRl/ft9sImgWVrt+32wg0Q0lRLk5ZU0U6TVlSRy5JUV9FQklUREFfTUFSR0lOLjEwMDAuMTIvMzEvMjAxOC4uLlVTRAUAAAAAAAAACAAAABQoSW52YWxpZCBJZGVudGlmaWVyKYDIRl/ft9sIakt0X9+32wgzQ0lRLk5ZU0U6TVRaLklRX0VCSVREQV9NQVJH</t>
  </si>
  <si>
    <t>SU4uMTAwMC4xMi8zMS8yMDE4Li4uVVNEAQAAAFSeAgACAAAABjkuODgyNgEIAAAABQAAAAExAQAAAAoyMDgxOTY4Njg0AwAAAAMxNjACAAAABDQwNDcEAAAAATAHAAAACjEyLzMxLzIwMTgIAAAACjEyLzMxLzIwMTgJAAAAATCAyEZf37fbCJoFla7ft9sIKUNJUS5OWVNFOk1UWi5JUV9OSV9NQVJHSU4uMTAwMC4xMi8zMS8yMDE4AQAAAFSeAgACAAAABTMuNzU4AQgAAAAFAAAAATEBAAAACjIwODE5Njg2ODQDAAAAAzE2MAIAAAAENDA5NAQAAAABMAcAAAAKMTIvMzEvMjAxOAgAAAAKMTIvMzEvMjAxOAkAAAABMIDIRl/ft9sIRMCRoN+32wgqQ0lRLk5ZU0U6TVlSRy5JUV9OSV9NQVJHSU4uMTAwMC4xMi8zMS8yMDE4BQAAAAAAAAAIAAAAFChJbnZhbGlkIElkZW50aWZpZXIpgMhGX9+32whqS3Rf37fbCClDSVEuTllTRTpQV1IuSVFfTklfTUFSR0lOLjEwMDAuMTIvMzEvMjAxOAEAAADlggAAAgAAAAYyLjYyNTgBCAAAAAUAAAABMQEAAAAKMjA4MjQ4MTI3MQMAAAADMTYwAgAAAAQ0MDk0BAAAAAEwBwAAAAoxMi8zMS8yMDE4CAAAAAoxMi8zMS8yMDE4CQAAAAEwgMhGX9+32whEwJGg37fbCCtDSVEuTllTRTpQV1IuSVFfRUJJVF9NQVJHSU4uMTAwMC4xMi8zMS8yMDE4AQAAAOWCAAACAAAABjUuMTc3NAEIAAAABQAAAAExAQAAAAoyMDgyNDgxMjcxAwAAAAMxNjACAAAABDQwNTMEAAAAATAHAAAACjEyLzMx</t>
  </si>
  <si>
    <t>LzIwMTgIAAAACjEyLzMxLzIwMTgJAAAAATCAyEZf37fbCIh7m6bft9sILENJUS5OWVNFOk1ZUkcuSVFfRUJJVF9NQVJHSU4uMTAwMC4xMi8zMS8yMDE4BQAAAAAAAAAIAAAAFChJbnZhbGlkIElkZW50aWZpZXIpgMhGX9+32whqS3Rf37fbCCtDSVEuTllTRTpNVFouSVFfRUJJVF9NQVJHSU4uMTAwMC4xMi8zMS8yMDE4AQAAAFSeAgACAAAABjYuODAwOAEIAAAABQAAAAExAQAAAAoyMDgxOTY4Njg0AwAAAAMxNjACAAAABDQwNTMEAAAAATAHAAAACjEyLzMxLzIwMTgIAAAACjEyLzMxLzIwMTgJAAAAATCAyEZf37fbCIh7m6bft9sIMkNJUS5OWVNFOk1UWi5JUV9HUk9TU19NQVJHSU4uMTAwMC4xMi8zMS8yMDE4Li4uVVNEAQAAAFSeAgACAAAABzE0LjA0MDMBCAAAAAUAAAABMQEAAAAKMjA4MTk2ODY4NAMAAAADMTYwAgAAAAQ0MDc0BAAAAAEwBwAAAAoxMi8zMS8yMDE4CAAAAAoxMi8zMS8yMDE4CQAAAAEwgMhGX9+32whVk52F37fbCDNDSVEuTllTRTpNWVJHLklRX0dST1NTX01BUkdJTi4xMDAwLjEyLzMxLzIwMTguLi5VU0QFAAAAAAAAAAgAAAAUKEludmFsaWQgSWRlbnRpZmllcimAyEZf37fbCGpLdF/ft9sIMkNJUS5OWVNFOlBXUi5JUV9HUk9TU19NQVJHSU4uMTAwMC4xMi8zMS8yMDE4Li4uVVNEAQAAAOWCAAACAAAABzEzLjI0NzcBCAAAAAUAAAABMQEAAAAKMjA4MjQ4MTI3MQMAAAADMTYwAgAA</t>
  </si>
  <si>
    <t>AAQ0MDc0BAAAAAEwBwAAAAoxMi8zMS8yMDE4CAAAAAoxMi8zMS8yMDE4CQAAAAEwgMhGX9+32whVk52F37fbCClDSVEuTllTRTpQV1IuSVFfQ1VSUkVOVF9SQVRJTy4xMDAwLi4uLlVTRAEAAADlggAAAgAAAAgxLjYyNTI5NAEIAAAABQAAAAExAQAAAAstMjA1OTc0MTM3MwMAAAADMTYwAgAAAAQ0MDMwBAAAAAEwBwAAAAk5LzE4LzIwMjMIAAAACjEyLzMxLzIwMjIJAAAAATCAyEZf37fbCIDIRl/ft9sIJ0NJUS5OWVNFOk1UWi5JUV9RVUlDS19SQVRJTy4xMDAwLi4uLlVTRAEAAABUngIAAgAAAAgxLjQwMjM4NwEIAAAABQAAAAExAQAAAAstMjA1NjkxOTQyNgMAAAADMTYwAgAAAAQ0MTIxBAAAAAEwBwAAAAk5LzE4LzIwMjMIAAAACjEyLzMxLzIwMjIJAAAAATCAyEZf37fbCIDIRl/ft9sIMUNJUS5OWVNFOk1UWi5JUV9RVUlDS19SQVRJTy4xMDAwLjEyLzMxLzIwMTUuLi5VU0QBAAAAVJ4CAAIAAAAIMS4yNTU2MDkBCAAAAAUAAAABMQEAAAAKMTg3NjczNDgwNgMAAAADMTYwAgAAAAQ0MTIxBAAAAAEwBwAAAAoxMi8zMS8yMDE1CAAAAAoxMi8zMS8yMDE1CQAAAAEwgMhGX9+32whqS3Rf37fbCCdDSVEuTllTRTpQV1IuSVFfUVVJQ0tfUkFUSU8uMTAwMC4uLi5VU0QBAAAA5YIAAAIAAAAIMS41MjE3OTcBCAAAAAUAAAABMQEAAAALLTIwNTk3NDEzNzMDAAAAAzE2MAIAAAAENDEyMQQAAAABMAcAAAAJOS8x</t>
  </si>
  <si>
    <t>OC8yMDIzCAAAAAoxMi8zMS8yMDIyCQAAAAEwgMhGX9+32wiAyEZf37fbCDFDSVEuTllTRTpNVFouSVFfUVVJQ0tfUkFUSU8uMTAwMC4xMi8zMS8yMDE0Li4uVVNEAQAAAFSeAgACAAAACDEuMzUzNTMzAQgAAAAFAAAAATEBAAAACjE4MjkyMjU1MjEDAAAAAzE2MAIAAAAENDEyMQQAAAABMAcAAAAKMTIvMzEvMjAxNAgAAAAKMTIvMzEvMjAxNAkAAAABMIDIRl/ft9sIakt0X9+32wg0Q0lRLk5ZU0U6TVlSRy5JUV9DVVJSRU5UX1JBVElPLjEwMDAuMTIvMzEvMjAxNC4uLlVTRAUAAAAAAAAACAAAABQoSW52YWxpZCBJZGVudGlmaWVyKYDIRl/ft9sIakt0X9+32wgqQ0lRLk5ZU0U6TVlSRy5JUV9DVVJSRU5UX1JBVElPLjEwMDAuLi4uVVNEBQAAAAAAAAAIAAAAFChJbnZhbGlkIElkZW50aWZpZXIpgMhGX9+32wiAyEZf37fbCDRDSVEuTllTRTpNWVJHLklRX0NVUlJFTlRfUkFUSU8uMTAwMC4xMi8zMS8yMDE1Li4uVVNEBQAAAAAAAAAIAAAAFChJbnZhbGlkIElkZW50aWZpZXIpgMhGX9+32whqS3Rf37fbCDJDSVEuTllTRTpNWVJHLklRX1FVSUNLX1JBVElPLjEwMDAuMTIvMzEvMjAxMy4uLlVTRAUAAAAAAAAACAAAABQoSW52YWxpZCBJZGVudGlmaWVyKYDIRl/ft9sIakt0X9+32wgyQ0lRLk5ZU0U6TVlSRy5JUV9RVUlDS19SQVRJTy4xMDAwLjEyLzMxLzIwMTUuLi5VU0QFAAAAAAAAAAgAAAAUKEludmFs</t>
  </si>
  <si>
    <t>aWQgSWRlbnRpZmllcimAyEZf37fbCGpLdF/ft9sIMkNJUS5OWVNFOk1ZUkcuSVFfUVVJQ0tfUkFUSU8uMTAwMC4xMi8zMS8yMDE0Li4uVVNEBQAAAAAAAAAIAAAAFChJbnZhbGlkIElkZW50aWZpZXIpgMhGX9+32whqS3Rf37fbCChDSVEuTllTRTpNWVJHLklRX1FVSUNLX1JBVElPLjEwMDAuLi4uVVNEBQAAAAAAAAAIAAAAFChJbnZhbGlkIElkZW50aWZpZXIpgMhGX9+32wiAyEZf37fbCDNDSVEuTllTRTpNVFouSVFfQ1VSUkVOVF9SQVRJTy4xMDAwLjEyLzMxLzIwMTUuLi5VU0QBAAAAVJ4CAAIAAAAIMS41MDEyNjkBCAAAAAUAAAABMQEAAAAKMTg3NjczNDgwNgMAAAADMTYwAgAAAAQ0MDMwBAAAAAEwBwAAAAoxMi8zMS8yMDE1CAAAAAoxMi8zMS8yMDE1CQAAAAEwgMhGX9+32whqS3Rf37fbCClDSVEuTllTRTpNVFouSVFfQ1VSUkVOVF9SQVRJTy4xMDAwLi4uLlVTRAEAAABUngIAAgAAAAgxLjU0NjEwMQEIAAAABQAAAAExAQAAAAstMjA1NjkxOTQyNgMAAAADMTYwAgAAAAQ0MDMwBAAAAAEwBwAAAAk5LzE4LzIwMjMIAAAACjEyLzMxLzIwMjIJAAAAATCAyEZf37fbCIDIRl/ft9sIM0NJUS5OWVNFOk1UWi5JUV9DVVJSRU5UX1JBVElPLjEwMDAuMTIvMzEvMjAxMy4uLlVTRAEAAABUngIAAgAAAAgxLjU3NjIwMQEIAAAABQAAAAExAQAAAAoxNzc4MTQ2MDcyAwAAAAMxNjACAAAABDQwMzAEAAAAATAH</t>
  </si>
  <si>
    <t>AAAACjEyLzMxLzIwMTMIAAAACjEyLzMxLzIwMTMJAAAAATCAyEZf37fbCGpLdF/ft9sIM0NJUS5OWVNFOk1UWi5JUV9DVVJSRU5UX1JBVElPLjEwMDAuMTIvMzEvMjAxNC4uLlVTRAEAAABUngIAAgAAAAgxLjU2MTY1OQEIAAAABQAAAAExAQAAAAoxODI5MjI1NTIxAwAAAAMxNjACAAAABDQwMzAEAAAAATAHAAAACjEyLzMxLzIwMTQIAAAACjEyLzMxLzIwMTQJAAAAATCAyEZf37fbCGpLdF/ft9sIM0NJUS5OWVNFOlBXUi5JUV9DVVJSRU5UX1JBVElPLjEwMDAuMTIvMzEvMjAxMy4uLlVTRAEAAADlggAAAgAAAAcyLjIxOTA4AQgAAAAFAAAAATEBAAAACjE3Nzg2Mzc2MzMDAAAAAzE2MAIAAAAENDAzMAQAAAABMAcAAAAKMTIvMzEvMjAxMwgAAAAKMTIvMzEvMjAxMwkAAAABMIDIRl/ft9sIakt0X9+32wgzQ0lRLk5ZU0U6UFdSLklRX0NVUlJFTlRfUkFUSU8uMTAwMC4xMi8zMS8yMDE0Li4uVVNEAQAAAOWCAAACAAAACDIuMjU1ODc5AQgAAAAFAAAAATEBAAAACjE4MzAwNjQ2NTYDAAAAAzE2MAIAAAAENDAzMAQAAAABMAcAAAAKMTIvMzEvMjAxNAgAAAAKMTIvMzEvMjAxNAkAAAABMIDIRl/ft9sIakt0X9+32wgzQ0lRLk5ZU0U6UFdSLklRX0NVUlJFTlRfUkFUSU8uMTAwMC4xMi8zMS8yMDE1Li4uVVNEAQAAAOWCAAACAAAACDEuODkyMDI5AQgAAAAFAAAAATEBAAAACjE4NzY5Mjc1NzUDAAAAAzE2MAIA</t>
  </si>
  <si>
    <t>AAAENDAzMAQAAAABMAcAAAAKMTIvMzEvMjAxNQgAAAAKMTIvMzEvMjAxNQkAAAABMIDIRl/ft9sIakt0X9+32wgxQ0lRLk5ZU0U6UFdSLklRX1FVSUNLX1JBVElPLjEwMDAuMTIvMzEvMjAxMy4uLlVTRAEAAADlggAAAgAAAAgyLjA1NDgwOAEIAAAABQAAAAExAQAAAAoxNzc4NjM3NjMzAwAAAAMxNjACAAAABDQxMjEEAAAAATAHAAAACjEyLzMxLzIwMTMIAAAACjEyLzMxLzIwMTMJAAAAATCAyEZf37fbCGpLdF/ft9sIMUNJUS5OWVNFOlBXUi5JUV9RVUlDS19SQVRJTy4xMDAwLjEyLzMxLzIwMTQuLi5VU0QBAAAA5YIAAAIAAAAIMi4wNjM0OTkBCAAAAAUAAAABMQEAAAAKMTgzMDA2NDY1NgMAAAADMTYwAgAAAAQ0MTIxBAAAAAEwBwAAAAoxMi8zMS8yMDE0CAAAAAoxMi8zMS8yMDE0CQAAAAEwgMhGX9+32whqS3Rf37fbCDRDSVEuTllTRTpNWVJHLklRX0NVUlJFTlRfUkFUSU8uMTAwMC4xMi8zMS8yMDEzLi4uVVNEBQAAAAAAAAAIAAAAFChJbnZhbGlkIElkZW50aWZpZXIpgMhGX9+32whqS3Rf37fbCDFDSVEuTllTRTpQV1IuSVFfUVVJQ0tfUkFUSU8uMTAwMC4xMi8zMS8yMDE1Li4uVVNEAQAAAOWCAAACAAAABzEuNzE4MTgBCAAAAAUAAAABMQEAAAAKMTg3NjkyNzU3NQMAAAADMTYwAgAAAAQ0MTIxBAAAAAEwBwAAAAoxMi8zMS8yMDE1CAAAAAoxMi8zMS8yMDE1CQAAAAEwgMhGX9+32whqS3Rf37fb</t>
  </si>
  <si>
    <t>CDFDSVEuTllTRTpNVFouSVFfUVVJQ0tfUkFUSU8uMTAwMC4xMi8zMS8yMDEzLi4uVVNEAQAAAFSeAgACAAAACDEuMzk2MDI2AQgAAAAFAAAAATEBAAAACjE3NzgxNDYwNzIDAAAAAzE2MAIAAAAENDEyMQQAAAABMAcAAAAKMTIvMzEvMjAxMwgAAAAKMTIvMzEvMjAxMwkAAAABMIDIRl/ft9sIakt0X9+32wgyQ0lRLk5ZU0U6TVlSRy5JUV9UT1RBTF9ERUJUX0VRVUlUWS4xMDAwLjEyLzMxLzIwMTcFAAAAAAAAAAgAAAAUKEludmFsaWQgSWRlbnRpZmllcimAyEZf37fbCGpLdF/ft9sIMUNJUS5OWVNFOk1UWi5JUV9UT1RBTF9ERUJUX0VRVUlUWS4xMDAwLjEyLzMxLzIwMTcBAAAAVJ4CAAIAAAAHOTUuNDgwNAEIAAAABQAAAAExAQAAAAoyMDE4MDc2Nzc4AwAAAAMxNjACAAAABDQwMzQEAAAAATAHAAAACjEyLzMxLzIwMTcIAAAACjEyLzMxLzIwMTcJAAAAATCAyEZf37fbCFWTnYXft9sIMUNJUS5OWVNFOlBXUi5JUV9UT1RBTF9ERUJUX0VRVUlUWS4xMDAwLjEyLzMxLzIwMTcBAAAA5YIAAAIAAAAGMTcuNzAzAQgAAAAFAAAAATEBAAAACjIwMTgzOTgzNDcDAAAAAzE2MAIAAAAENDAzNAQAAAABMAcAAAAKMTIvMzEvMjAxNwgAAAAKMTIvMzEvMjAxNwkAAAABMIDIRl/ft9sIVZOdhd+32wgyQ0lRLk5ZU0U6UFdSLklRX1RPVEFMX0RFQlRfQ0FQSVRBTC4xMDAwLjEyLzMxLzIwMTcBAAAA5YIAAAIAAAAHMTUu</t>
  </si>
  <si>
    <t>MDQwNAEIAAAABQAAAAExAQAAAAoyMDE4Mzk4MzQ3AwAAAAMxNjACAAAABDQxODYEAAAAATAHAAAACjEyLzMxLzIwMTcIAAAACjEyLzMxLzIwMTcJAAAAATCAyEZf37fbCFWTnYXft9sIMkNJUS5OWVNFOk1UWi5JUV9UT1RBTF9ERUJUX0NBUElUQUwuMTAwMC4xMi8zMS8yMDE3AQAAAFSeAgACAAAABzQ4Ljg0MzkBCAAAAAUAAAABMQEAAAAKMjAxODA3Njc3OAMAAAADMTYwAgAAAAQ0MTg2BAAAAAEwBwAAAAoxMi8zMS8yMDE3CAAAAAoxMi8zMS8yMDE3CQAAAAEwgMhGX9+32whVk52F37fbCDNDSVEuTllTRTpNWVJHLklRX1RPVEFMX0RFQlRfQ0FQSVRBTC4xMDAwLjEyLzMxLzIwMTcFAAAAAAAAAAgAAAAUKEludmFsaWQgSWRlbnRpZmllcimAyEZf37fbCGpLdF/ft9sINUNJUS5OWVNFOlBXUi5JUV9ORVRfREVCVF9FQklUREEuMTAwMC4xMi8zMS8yMDE3Li4uVVNEAQAAAOWCAAACAAAACDAuODIzODYzAQgAAAAFAAAAATEBAAAACjIwMTgzOTgzNDcDAAAAAzE2MAIAAAAENDE5MwQAAAABMAcAAAAKMTIvMzEvMjAxNwgAAAAKMTIvMzEvMjAxNwkAAAABMIDIRl/ft9sIVZOdhd+32wg1Q0lRLk5ZU0U6TVRaLklRX05FVF9ERUJUX0VCSVREQS4xMDAwLjEyLzMxLzIwMTcuLi5VU0QBAAAAVJ4CAAIAAAAIMi4yNjIxMjIBCAAAAAUAAAABMQEAAAAKMjAxODA3Njc3OAMAAAADMTYwAgAAAAQ0MTkzBAAAAAEwBwAA</t>
  </si>
  <si>
    <t>AAoxMi8zMS8yMDE3CAAAAAoxMi8zMS8yMDE3CQAAAAEwgMhGX9+32whVk52F37fbCDZDSVEuTllTRTpNWVJHLklRX05FVF9ERUJUX0VCSVREQS4xMDAwLjEyLzMxLzIwMTcuLi5VU0QFAAAAAAAAAAgAAAAUKEludmFsaWQgSWRlbnRpZmllcimAyEZf37fbCGpLdF/ft9sIKENJUS5OWVNFOk1UWi5JUV9BUl9UVVJOUy4xMDAwLjEyLzMxLzIwMTgBAAAAVJ4CAAIAAAAIMy45MjM1OTIBCAAAAAUAAAABMQEAAAAKMjA4MTk2ODY4NAMAAAADMTYwAgAAAAQ0MDAxBAAAAAEwBwAAAAoxMi8zMS8yMDE4CAAAAAoxMi8zMS8yMDE4CQAAAAEwgMhGX9+32whVk52F37fbCChDSVEuTllTRTpQV1IuSVFfQVJfVFVSTlMuMTAwMC4xMi8zMS8yMDE4AQAAAOWCAAACAAAACDQuMTI2ODY3AQgAAAAFAAAAATEBAAAACjIwODI0ODEyNzEDAAAAAzE2MAIAAAAENDAwMQQAAAABMAcAAAAKMTIvMzEvMjAxOAgAAAAKMTIvMzEvMjAxOAkAAAABMIDIRl/ft9sIVZOdhd+32wgpQ0lRLk5ZU0U6TVlSRy5JUV9BUl9UVVJOUy4xMDAwLjEyLzMxLzIwMTgFAAAAAAAAAAgAAAAUKEludmFsaWQgSWRlbnRpZmllcimAyEZf37fbCGpLdF/ft9sIK0NJUS5OWVNFOk1UWi5JUV9BU1NFVF9UVVJOUy4xMDAwLjEyLzMxLzIwMTgBAAAAVJ4CAAIAAAAIMS42MjQ0OTcBCAAAAAUAAAABMQEAAAAKMjA4MTk2ODY4NAMAAAADMTYwAgAAAAQ0MTc3BAAA</t>
  </si>
  <si>
    <t>AAEwBwAAAAoxMi8zMS8yMDE4CAAAAAoxMi8zMS8yMDE4CQAAAAEwgMhGX9+32whVk52F37fbCCtDSVEuTllTRTpQV1IuSVFfQVNTRVRfVFVSTlMuMTAwMC4xMi8zMS8yMDE4AQAAAOWCAAACAAAACDEuNjQ4MTk1AQgAAAAFAAAAATEBAAAACjIwODI0ODEyNzEDAAAAAzE2MAIAAAAENDE3NwQAAAABMAcAAAAKMTIvMzEvMjAxOAgAAAAKMTIvMzEvMjAxOAkAAAABMIDIRl/ft9sIVZOdhd+32wgsQ0lRLk5ZU0U6TVlSRy5JUV9BU1NFVF9UVVJOUy4xMDAwLjEyLzMxLzIwMTgFAAAAAAAAAAgAAAAUKEludmFsaWQgSWRlbnRpZmllcimAyEZf37fbCGpLdF/ft9sIL0NJUS5OWVNFOk1UWi5JUV9JTlZFTlRPUllfVFVSTlMuMTAwMC4xMi8zMS8yMDE4AQAAAFSeAgACAAAACTYyLjI4OTIxNwEIAAAABQAAAAExAQAAAAoyMDgxOTY4Njg0AwAAAAMxNjACAAAABDQwODIEAAAAATAHAAAACjEyLzMxLzIwMTgIAAAACjEyLzMxLzIwMTgJAAAAATCAyEZf37fbCFWTnYXft9sIL0NJUS5OWVNFOlBXUi5JUV9JTlZFTlRPUllfVFVSTlMuMTAwMC4xMi8zMS8yMDE4AQAAAOWCAAACAAAACjEwMi43NjA2NDIBCAAAAAUAAAABMQEAAAAKMjA4MjQ4MTI3MQMAAAADMTYwAgAAAAQ0MDgyBAAAAAEwBwAAAAoxMi8zMS8yMDE4CAAAAAoxMi8zMS8yMDE4CQAAAAEwgMhGX9+32whVk52F37fbCDBDSVEuTllTRTpNWVJHLklRX0lOVkVO</t>
  </si>
  <si>
    <t>VE9SWV9UVVJOUy4xMDAwLjEyLzMxLzIwMTgFAAAAAAAAAAgAAAAUKEludmFsaWQgSWRlbnRpZmllcimAyEZf37fbCGpLdF/ft9sIMUNJUS5OWVNFOk1UWi5JUV9RVUlDS19SQVRJTy4xMDAwLjEyLzMwLzIwMTYuLi5VU0QBAAAAVJ4CAAIAAAAIMS4yNTU2MDkBCAAAAAUAAAABMQEAAAAKMTg3NjczNDgwNgMAAAADMTYwAgAAAAQ0MTIxBAAAAAEwBwAAAAoxMi8zMC8yMDE2CAAAAAoxMi8zMS8yMDE1CQAAAAEwgMhGX9+32whqS3Rf37fbCDNDSVEuTllTRTpQV1IuSVFfQ1VSUkVOVF9SQVRJTy4xMDAwLjEyLzMwLzIwMTYuLi5VU0QBAAAA5YIAAAIAAAAIMS44OTIwMjkBCAAAAAUAAAABMQEAAAAKMTg3NjkyNzU3NQMAAAADMTYwAgAAAAQ0MDMwBAAAAAEwBwAAAAoxMi8zMC8yMDE2CAAAAAoxMi8zMS8yMDE1CQAAAAEwgMhGX9+32whqS3Rf37fbCDNDSVEuTllTRTpNVFouSVFfQ1VSUkVOVF9SQVRJTy4xMDAwLjEyLzMwLzIwMTYuLi5VU0QBAAAAVJ4CAAIAAAAIMS41MDEyNjkBCAAAAAUAAAABMQEAAAAKMTg3NjczNDgwNgMAAAADMTYwAgAAAAQ0MDMwBAAAAAEwBwAAAAoxMi8zMC8yMDE2CAAAAAoxMi8zMS8yMDE1CQAAAAEwgMhGX9+32whqS3Rf37fbCDJDSVEuTllTRTpNWVJHLklRX1FVSUNLX1JBVElPLjEwMDAuMTIvMzAvMjAxNi4uLlVTRAUAAAAAAAAACAAAABQoSW52YWxpZCBJZGVudGlmaWVyKYDI</t>
  </si>
  <si>
    <t>Rl/ft9sIakt0X9+32wg0Q0lRLk5ZU0U6TVlSRy5JUV9DVVJSRU5UX1JBVElPLjEwMDAuMTIvMzAvMjAxNi4uLlVTRAUAAAAAAAAACAAAABQoSW52YWxpZCBJZGVudGlmaWVyKYDIRl/ft9sIakt0X9+32wgxQ0lRLk5ZU0U6UFdSLklRX1FVSUNLX1JBVElPLjEwMDAuMTIvMzAvMjAxNi4uLlVTRAEAAADlggAAAgAAAAcxLjcxODE4AQgAAAAFAAAAATEBAAAACjE4NzY5Mjc1NzUDAAAAAzE2MAIAAAAENDEyMQQAAAABMAcAAAAKMTIvMzAvMjAxNggAAAAKMTIvMzEvMjAxNQkAAAABMIDIRl/ft9sIakt0X9+32wgtQ0lRLk5ZU0U6TVRaLklRX1JFVFVSTl9FUVVJVFkuMTAwMC4xMi8zMS8yMDE5AQAAAFSeAgACAAAABzI0Ljc1NjkBCAAAAAUAAAABMQEAAAALLTIxMDk2OTgxMzcDAAAAAzE2MAIAAAAENDEyOAQAAAABMAcAAAAKMTIvMzEvMjAxOQgAAAAKMTIvMzEvMjAxOQkAAAABMIDIRl/ft9sIS9klt+O32wgtQ0lRLk5ZU0U6UFdSLklRX1JFVFVSTl9FUVVJVFkuMTAwMC4xMi8zMS8yMDE5AQAAAOWCAAACAAAABzEwLjYyMjcBCAAAAAUAAAABMQEAAAALLTIxMTAzNjcyMjQDAAAAAzE2MAIAAAAENDEyOAQAAAABMAcAAAAKMTIvMzEvMjAxOQgAAAAKMTIvMzEvMjAxOQkAAAABMIDIRl/ft9sIS9klt+O32wguQ0lRLk5ZU0U6TVlSRy5JUV9SRVRVUk5fRVFVSVRZLjEwMDAuMTIvMzEvMjAxOQUAAAAAAAAACAAA</t>
  </si>
  <si>
    <t>ABQoSW52YWxpZCBJZGVudGlmaWVyKYDIRl/ft9sIUSB0X9+32wgyQ0lRLk5ZU0U6TVRaLklRX0dST1NTX01BUkdJTi4xMDAwLjEyLzMxLzIwMTkuLi5VU0QBAAAAVJ4CAAIAAAAHMTUuNDkzNwEIAAAABQAAAAExAQAAAAstMjEwOTY5ODEzNwMAAAADMTYwAgAAAAQ0MDc0BAAAAAEwBwAAAAoxMi8zMS8yMDE5CAAAAAoxMi8zMS8yMDE5CQAAAAEwgMhGX9+32whVk52F37fbCDNDSVEuTllTRTpNWVJHLklRX0dST1NTX01BUkdJTi4xMDAwLjEyLzMxLzIwMTkuLi5VU0QFAAAAAAAAAAgAAAAUKEludmFsaWQgSWRlbnRpZmllcimAyEZf37fbCGpLdF/ft9sIMkNJUS5OWVNFOlBXUi5JUV9HUk9TU19NQVJHSU4uMTAwMC4xMi8zMS8yMDE5Li4uVVNEAQAAAOWCAAACAAAABzEzLjIxMTkBCAAAAAUAAAABMQEAAAALLTIxMTAzNjcyMjQDAAAAAzE2MAIAAAAENDA3NAQAAAABMAcAAAAKMTIvMzEvMjAxOQgAAAAKMTIvMzEvMjAxOQkAAAABMIDIRl/ft9sIVZOdhd+32wgsQ0lRLk5ZU0U6TVlSRy5JUV9FQklUX01BUkdJTi4xMDAwLjEyLzMxLzIwMTkFAAAAAAAAAAgAAAAUKEludmFsaWQgSWRlbnRpZmllcimAyEZf37fbCFEgdF/ft9sIK0NJUS5OWVNFOlBXUi5JUV9FQklUX01BUkdJTi4xMDAwLjEyLzMxLzIwMTkBAAAA5YIAAAIAAAAGNC44MDY0AQgAAAAFAAAAATEBAAAACy0yMTEwMzY3MjI0AwAAAAMxNjACAAAA</t>
  </si>
  <si>
    <t>BDQwNTMEAAAAATAHAAAACjEyLzMxLzIwMTkIAAAACjEyLzMxLzIwMTkJAAAAATCAyEZf37fbCIh7m6bft9sIK0NJUS5OWVNFOk1UWi5JUV9FQklUX01BUkdJTi4xMDAwLjEyLzMxLzIwMTkBAAAAVJ4CAAIAAAAGOC4yNDI4AQgAAAAFAAAAATEBAAAACy0yMTA5Njk4MTM3AwAAAAMxNjACAAAABDQwNTMEAAAAATAHAAAACjEyLzMxLzIwMTkIAAAACjEyLzMxLzIwMTkJAAAAATCAyEZf37fbCIh7m6bft9sIKUNJUS5OWVNFOk1UWi5JUV9OSV9NQVJHSU4uMTAwMC4xMi8zMS8yMDE5AQAAAFSeAgACAAAABjUuNDYxOAEIAAAABQAAAAExAQAAAAstMjEwOTY5ODEzNwMAAAADMTYwAgAAAAQ0MDk0BAAAAAEwBwAAAAoxMi8zMS8yMDE5CAAAAAoxMi8zMS8yMDE5CQAAAAEwgMhGX9+32whEwJGg37fbCClDSVEuTllTRTpQV1IuSVFfTklfTUFSR0lOLjEwMDAuMTIvMzEvMjAxOQEAAADlggAAAgAAAAYzLjMxOTMBCAAAAAUAAAABMQEAAAALLTIxMTAzNjcyMjQDAAAAAzE2MAIAAAAENDA5NAQAAAABMAcAAAAKMTIvMzEvMjAxOQgAAAAKMTIvMzEvMjAxOQkAAAABMIDIRl/ft9sIRMCRoN+32wgqQ0lRLk5ZU0U6TVlSRy5JUV9OSV9NQVJHSU4uMTAwMC4xMi8zMS8yMDE5BQAAAAAAAAAIAAAAFChJbnZhbGlkIElkZW50aWZpZXIpgMhGX9+32whRIHRf37fbCDNDSVEuTllTRTpQV1IuSVFfRUJJVERBX01BUkdJTi4xMDAw</t>
  </si>
  <si>
    <t>LjEyLzMxLzIwMTkuLi5VU0QBAAAA5YIAAAIAAAAGNy4xMTk4AQgAAAAFAAAAATEBAAAACy0yMTEwMzY3MjI0AwAAAAMxNjACAAAABDQwNDcEAAAAATAHAAAACjEyLzMxLzIwMTkIAAAACjEyLzMxLzIwMTkJAAAAATCAyEZf37fbCJoFla7ft9sIM0NJUS5OWVNFOk1UWi5JUV9FQklUREFfTUFSR0lOLjEwMDAuMTIvMzEvMjAxOS4uLlVTRAEAAABUngIAAgAAAAcxMS41MjExAQgAAAAFAAAAATEBAAAACy0yMTA5Njk4MTM3AwAAAAMxNjACAAAABDQwNDcEAAAAATAHAAAACjEyLzMxLzIwMTkIAAAACjEyLzMxLzIwMTkJAAAAATCAyEZf37fbCJoFla7ft9sINENJUS5OWVNFOk1ZUkcuSVFfRUJJVERBX01BUkdJTi4xMDAwLjEyLzMxLzIwMTkuLi5VU0QFAAAAAAAAAAgAAAAUKEludmFsaWQgSWRlbnRpZmllcimAyEZf37fbCFEgdF/ft9sILUNJUS5OWVNFOlBXUi5JUV9SRVRVUk5fQVNTRVRTLjEwMDAuMTIvMzEvMjAxOQEAAADlggAAAgAAAAY0LjcyMzEBCAAAAAUAAAABMQEAAAALLTIxMTAzNjcyMjQDAAAAAzE2MAIAAAAENDE3OAQAAAABMAcAAAAKMTIvMzEvMjAxOQgAAAAKMTIvMzEvMjAxOQkAAAABMIDIRl/ft9sImgWVrt+32wgtQ0lRLk5ZU0U6TVRaLklRX1JFVFVSTl9BU1NFVFMuMTAwMC4xMi8zMS8yMDE5AQAAAFSeAgACAAAABjcuODQyOAEIAAAABQAAAAExAQAAAAstMjEwOTY5ODEzNwMAAAADMTYw</t>
  </si>
  <si>
    <t>AgAAAAQ0MTc4BAAAAAEwBwAAAAoxMi8zMS8yMDE5CAAAAAoxMi8zMS8yMDE5CQAAAAEwgMhGX9+32wiaBZWu37fbCC5DSVEuTllTRTpNWVJHLklRX1JFVFVSTl9BU1NFVFMuMTAwMC4xMi8zMS8yMDE5BQAAAAAAAAAIAAAAFChJbnZhbGlkIElkZW50aWZpZXIpgMhGX9+32whRIHRf37fbCDFDSVEuTllTRTpNVFouSVFfUVVJQ0tfUkFUSU8uMTAwMC4xMi8zMS8yMDE3Li4uVVNEAQAAAFSeAgACAAAACDEuNzA5Nzg5AQgAAAAFAAAAATEBAAAACjIwMTgwNzY3NzgDAAAAAzE2MAIAAAAENDEyMQQAAAABMAcAAAAKMTIvMzEvMjAxNwgAAAAKMTIvMzEvMjAxNwkAAAABMIDIRl/ft9sIUSB0X9+32wg0Q0lRLk5ZU0U6TVlSRy5JUV9DVVJSRU5UX1JBVElPLjEwMDAuMTIvMzEvMjAxNy4uLlVTRAUAAAAAAAAACAAAABQoSW52YWxpZCBJZGVudGlmaWVyKYDIRl/ft9sIUSB0X9+32wgzQ0lRLk5ZU0U6UFdSLklRX0NVUlJFTlRfUkFUSU8uMTAwMC4xMi8zMS8yMDE3Li4uVVNEAQAAAOWCAAACAAAACDEuOTIzNDQzAQgAAAAFAAAAATEBAAAACjIwMTgzOTgzNDcDAAAAAzE2MAIAAAAENDAzMAQAAAABMAcAAAAKMTIvMzEvMjAxNwgAAAAKMTIvMzEvMjAxNwkAAAABMIDIRl/ft9sIUSB0X9+32wgzQ0lRLk5ZU0U6TVRaLklRX0NVUlJFTlRfUkFUSU8uMTAwMC4xMi8zMS8yMDE3Li4uVVNEAQAAAFSeAgACAAAACDEuOTIx</t>
  </si>
  <si>
    <t>ODg2AQgAAAAFAAAAATEBAAAACjIwMTgwNzY3NzgDAAAAAzE2MAIAAAAENDAzMAQAAAABMAcAAAAKMTIvMzEvMjAxNwgAAAAKMTIvMzEvMjAxNwkAAAABMIDIRl/ft9sIUSB0X9+32wgyQ0lRLk5ZU0U6TVlSRy5JUV9RVUlDS19SQVRJTy4xMDAwLjEyLzMxLzIwMTcuLi5VU0QFAAAAAAAAAAgAAAAUKEludmFsaWQgSWRlbnRpZmllcimAyEZf37fbCFEgdF/ft9sIMUNJUS5OWVNFOlBXUi5JUV9RVUlDS19SQVRJTy4xMDAwLjEyLzMxLzIwMTcuLi5VU0QBAAAA5YIAAAIAAAAIMS43NTY2NTkBCAAAAAUAAAABMQEAAAAKMjAxODM5ODM0NwMAAAADMTYwAgAAAAQ0MTIxBAAAAAEwBwAAAAoxMi8zMS8yMDE3CAAAAAoxMi8zMS8yMDE3CQAAAAEwgMhGX9+32whRIHRf37fbCDVDSVEuTllTRTpNVFouSVFfTkVUX0RFQlRfRUJJVERBLjEwMDAuMTIvMzEvMjAxOC4uLlVTRAEAAABUngIAAgAAAAgyLjAyMDIwMQEIAAAABQAAAAExAQAAAAoyMDgxOTY4Njg0AwAAAAMxNjACAAAABDQxOTMEAAAAATAHAAAACjEyLzMxLzIwMTgIAAAACjEyLzMxLzIwMTgJAAAAATCAyEZf37fbCFWTnYXft9sINkNJUS5OWVNFOk1ZUkcuSVFfTkVUX0RFQlRfRUJJVERBLjEwMDAuMTIvMzEvMjAxOC4uLlVTRAUAAAAAAAAACAAAABQoSW52YWxpZCBJZGVudGlmaWVyKYDIRl/ft9sIRflzX9+32wg1Q0lRLk5ZU0U6UFdSLklRX05FVF9ERUJU</t>
  </si>
  <si>
    <t>X0VCSVREQS4xMDAwLjEyLzMxLzIwMTguLi5VU0QBAAAA5YIAAAIAAAAIMS4yNDU1ODEBCAAAAAUAAAABMQEAAAAKMjA4MjQ4MTI3MQMAAAADMTYwAgAAAAQ0MTkzBAAAAAEwBwAAAAoxMi8zMS8yMDE4CAAAAAoxMi8zMS8yMDE4CQAAAAEwgMhGX9+32whVk52F37fbCDJDSVEuTllTRTpQV1IuSVFfVE9UQUxfREVCVF9DQVBJVEFMLjEwMDAuMTIvMzEvMjAxOAEAAADlggAAAgAAAAcyMy40Nzc2AQgAAAAFAAAAATEBAAAACjIwODI0ODEyNzEDAAAAAzE2MAIAAAAENDE4NgQAAAABMAcAAAAKMTIvMzEvMjAxOAgAAAAKMTIvMzEvMjAxOAkAAAABMIDIRl/ft9sIVZOdhd+32wgyQ0lRLk5ZU0U6TVRaLklRX1RPVEFMX0RFQlRfQ0FQSVRBTC4xMDAwLjEyLzMxLzIwMTgBAAAAVJ4CAAIAAAAHNTAuMjY1MwEIAAAABQAAAAExAQAAAAoyMDgxOTY4Njg0AwAAAAMxNjACAAAABDQxODYEAAAAATAHAAAACjEyLzMxLzIwMTgIAAAACjEyLzMxLzIwMTgJAAAAATCAyEZf37fbCFWTnYXft9sIM0NJUS5OWVNFOk1ZUkcuSVFfVE9UQUxfREVCVF9DQVBJVEFMLjEwMDAuMTIvMzEvMjAxOAUAAAAAAAAACAAAABQoSW52YWxpZCBJZGVudGlmaWVyKYDIRl/ft9sIRflzX9+32wgxQ0lRLk5ZU0U6UFdSLklRX1RPVEFMX0RFQlRfRVFVSVRZLjEwMDAuMTIvMzEvMjAxOAEAAADlggAAAgAAAAczMC42ODA2AQgAAAAFAAAAATEBAAAA</t>
  </si>
  <si>
    <t>CjIwODI0ODEyNzEDAAAAAzE2MAIAAAAENDAzNAQAAAABMAcAAAAKMTIvMzEvMjAxOAgAAAAKMTIvMzEvMjAxOAkAAAABMIDIRl/ft9sIVZOdhd+32wgxQ0lRLk5ZU0U6TVRaLklRX1RPVEFMX0RFQlRfRVFVSVRZLjEwMDAuMTIvMzEvMjAxOAEAAABUngIAAgAAAAcxMDEuMDY3AQgAAAAFAAAAATEBAAAACjIwODE5Njg2ODQDAAAAAzE2MAIAAAAENDAzNAQAAAABMAcAAAAKMTIvMzEvMjAxOAgAAAAKMTIvMzEvMjAxOAkAAAABMIDIRl/ft9sIVZOdhd+32wgyQ0lRLk5ZU0U6TVlSRy5JUV9UT1RBTF9ERUJUX0VRVUlUWS4xMDAwLjEyLzMxLzIwMTgFAAAAAAAAAAgAAAAUKEludmFsaWQgSWRlbnRpZmllcimAyEZf37fbCEX5c1/ft9sIL0NJUS5OWVNFOk1UWi5JUV9JTlZFTlRPUllfVFVSTlMuMTAwMC4xMi8zMS8yMDE5AQAAAFSeAgACAAAACTU2Ljc5MDE2NQEIAAAABQAAAAExAQAAAAstMjEwOTY5ODEzNwMAAAADMTYwAgAAAAQ0MDgyBAAAAAEwBwAAAAoxMi8zMS8yMDE5CAAAAAoxMi8zMS8yMDE5CQAAAAEwgMhGX9+32whVk52F37fbCDBDSVEuTllTRTpNWVJHLklRX0lOVkVOVE9SWV9UVVJOUy4xMDAwLjEyLzMxLzIwMTkFAAAAAAAAAAgAAAAUKEludmFsaWQgSWRlbnRpZmllcimAyEZf37fbCEX5c1/ft9sIL0NJUS5OWVNFOlBXUi5JUV9JTlZFTlRPUllfVFVSTlMuMTAwMC4xMi8zMS8yMDE5AQAAAOWC</t>
  </si>
  <si>
    <t>AAACAAAACjEyOC42MjQ0OTIBCAAAAAUAAAABMQEAAAALLTIxMTAzNjcyMjQDAAAAAzE2MAIAAAAENDA4MgQAAAABMAcAAAAKMTIvMzEvMjAxOQgAAAAKMTIvMzEvMjAxOQkAAAABMIDIRl/ft9sIVZOdhd+32wgrQ0lRLk5ZU0U6UFdSLklRX0FTU0VUX1RVUk5TLjEwMDAuMTIvMzEvMjAxOQEAAADlggAAAgAAAAgxLjU3MjI0NAEIAAAABQAAAAExAQAAAAstMjExMDM2NzIyNAMAAAADMTYwAgAAAAQ0MTc3BAAAAAEwBwAAAAoxMi8zMS8yMDE5CAAAAAoxMi8zMS8yMDE5CQAAAAEwgMhGX9+32whVk52F37fbCCtDSVEuTllTRTpNVFouSVFfQVNTRVRfVFVSTlMuMTAwMC4xMi8zMS8yMDE5AQAAAFSeAgACAAAACDEuNTIyMzUyAQgAAAAFAAAAATEBAAAACy0yMTA5Njk4MTM3AwAAAAMxNjACAAAABDQxNzcEAAAAATAHAAAACjEyLzMxLzIwMTkIAAAACjEyLzMxLzIwMTkJAAAAATCAyEZf37fbCFWTnYXft9sILENJUS5OWVNFOk1ZUkcuSVFfQVNTRVRfVFVSTlMuMTAwMC4xMi8zMS8yMDE5BQAAAAAAAAAIAAAAFChJbnZhbGlkIElkZW50aWZpZXIpgMhGX9+32whF+XNf37fbCChDSVEuTllTRTpNVFouSVFfQVJfVFVSTlMuMTAwMC4xMi8zMS8yMDE5AQAAAFSeAgACAAAACDMuNzgxNzU1AQgAAAAFAAAAATEBAAAACy0yMTA5Njk4MTM3AwAAAAMxNjACAAAABDQwMDEEAAAAATAHAAAACjEyLzMxLzIwMTkIAAAACjEy</t>
  </si>
  <si>
    <t>LzMxLzIwMTkJAAAAATCAyEZf37fbCFWTnYXft9sIKENJUS5OWVNFOlBXUi5JUV9BUl9UVVJOUy4xMDAwLjEyLzMxLzIwMTkBAAAA5YIAAAIAAAAIMy44NTY4NzcBCAAAAAUAAAABMQEAAAALLTIxMTAzNjcyMjQDAAAAAzE2MAIAAAAENDAwMQQAAAABMAcAAAAKMTIvMzEvMjAxOQgAAAAKMTIvMzEvMjAxOQkAAAABMIDIRl/ft9sIVZOdhd+32wgpQ0lRLk5ZU0U6TVlSRy5JUV9BUl9UVVJOUy4xMDAwLjEyLzMxLzIwMTkFAAAAAAAAAAgAAAAUKEludmFsaWQgSWRlbnRpZmllcimAyEZf37fbCEX5c1/ft9sILUNJUS5OWVNFOk1UWi5JUV9SRVRVUk5fRVFVSVRZLjEwMDAuMTIvMzEvMjAyMAEAAABUngIAAgAAAAcxNi45OTY2AQgAAAAFAAAAATEBAAAACy0yMDU2OTE5Mzk4AwAAAAMxNjACAAAABDQxMjgEAAAAATAHAAAACjEyLzMxLzIwMjAIAAAACjEyLzMxLzIwMjAJAAAAATCAyEZf37fbCEvZJbfjt9sILkNJUS5OWVNFOk1ZUkcuSVFfUkVUVVJOX0VRVUlUWS4xMDAwLjEyLzMxLzIwMjAFAAAAAAAAAAgAAAAUKEludmFsaWQgSWRlbnRpZmllcimAyEZf37fbCEX5c1/ft9sILUNJUS5OWVNFOlBXUi5JUV9SRVRVUk5fRVFVSVRZLjEwMDAuMTIvMzEvMjAyMAEAAADlggAAAgAAAAcxMC43NTczAQgAAAAFAAAAATEBAAAACy0yMDU5NzQxMzU3AwAAAAMxNjACAAAABDQxMjgEAAAAATAHAAAACjEyLzMxLzIwMjAI</t>
  </si>
  <si>
    <t>AAAACjEyLzMxLzIwMjAJAAAAATCAyEZf37fbCEvZJbfjt9sILUNJUS5OWVNFOk1UWi5JUV9SRVRVUk5fQVNTRVRTLjEwMDAuMTIvMzEvMjAyMAEAAABUngIAAgAAAAY1LjUxNzkBCAAAAAUAAAABMQEAAAALLTIwNTY5MTkzOTgDAAAAAzE2MAIAAAAENDE3OAQAAAABMAcAAAAKMTIvMzEvMjAyMAgAAAAKMTIvMzEvMjAyMAkAAAABMIDIRl/ft9sImgWVrt+32wgtQ0lRLk5ZU0U6UFdSLklRX1JFVFVSTl9BU1NFVFMuMTAwMC4xMi8zMS8yMDIwAQAAAOWCAAACAAAABjQuNTUwNwEIAAAABQAAAAExAQAAAAstMjA1OTc0MTM1NwMAAAADMTYwAgAAAAQ0MTc4BAAAAAEwBwAAAAoxMi8zMS8yMDIwCAAAAAoxMi8zMS8yMDIwCQAAAAEwgMhGX9+32wiaBZWu37fbCC5DSVEuTllTRTpNWVJHLklRX1JFVFVSTl9BU1NFVFMuMTAwMC4xMi8zMS8yMDIwBQAAAAAAAAAIAAAAFChJbnZhbGlkIElkZW50aWZpZXIpgMhGX9+32wgz0nNf37fbCDNDSVEuTllTRTpQV1IuSVFfRUJJVERBX01BUkdJTi4xMDAwLjEyLzMxLzIwMjAuLi5VU0QBAAAA5YIAAAIAAAAGOC4xMzIyAQgAAAAFAAAAATEBAAAACy0yMDU5NzQxMzU3AwAAAAMxNjACAAAABDQwNDcEAAAAATAHAAAACjEyLzMxLzIwMjAIAAAACjEyLzMxLzIwMjAJAAAAATCAyEZf37fbCJoFla7ft9sIM0NJUS5OWVNFOk1UWi5JUV9FQklUREFfTUFSR0lOLjEwMDAuMTIvMzEv</t>
  </si>
  <si>
    <t>MjAyMC4uLlVTRAEAAABUngIAAgAAAAcxMS44NTEyAQgAAAAFAAAAATEBAAAACy0yMDU2OTE5Mzk4AwAAAAMxNjACAAAABDQwNDcEAAAAATAHAAAACjEyLzMxLzIwMjAIAAAACjEyLzMxLzIwMjAJAAAAATCAyEZf37fbCJoFla7ft9sINENJUS5OWVNFOk1ZUkcuSVFfRUJJVERBX01BUkdJTi4xMDAwLjEyLzMxLzIwMjAuLi5VU0QFAAAAAAAAAAgAAAAUKEludmFsaWQgSWRlbnRpZmllcimAyEZf37fbCEX5c1/ft9sIKUNJUS5OWVNFOk1UWi5JUV9OSV9NQVJHSU4uMTAwMC4xMi8zMS8yMDIwAQAAAFSeAgACAAAABjUuMTA3NQEIAAAABQAAAAExAQAAAAstMjA1NjkxOTM5OAMAAAADMTYwAgAAAAQ0MDk0BAAAAAEwBwAAAAoxMi8zMS8yMDIwCAAAAAoxMi8zMS8yMDIwCQAAAAEwgMhGX9+32whEwJGg37fbCClDSVEuTllTRTpQV1IuSVFfTklfTUFSR0lOLjEwMDAuMTIvMzEvMjAyMAEAAADlggAAAgAAAAYzLjk3NzUBCAAAAAUAAAABMQEAAAALLTIwNTk3NDEzNTcDAAAAAzE2MAIAAAAENDA5NAQAAAABMAcAAAAKMTIvMzEvMjAyMAgAAAAKMTIvMzEvMjAyMAkAAAABMIDIRl/ft9sIRMCRoN+32wgqQ0lRLk5ZU0U6TVlSRy5JUV9OSV9NQVJHSU4uMTAwMC4xMi8zMS8yMDIwBQAAAAAAAAAIAAAAFChJbnZhbGlkIElkZW50aWZpZXIpgMhGX9+32wgz0nNf37fbCCxDSVEuTllTRTpNWVJHLklRX0VCSVRfTUFSR0lO</t>
  </si>
  <si>
    <t>LjEwMDAuMTIvMzEvMjAyMAUAAAAAAAAACAAAABQoSW52YWxpZCBJZGVudGlmaWVyKYDIRl/ft9sIM9JzX9+32wgrQ0lRLk5ZU0U6UFdSLklRX0VCSVRfTUFSR0lOLjEwMDAuMTIvMzEvMjAyMAEAAADlggAAAgAAAAY1LjQzNjgBCAAAAAUAAAABMQEAAAALLTIwNTk3NDEzNTcDAAAAAzE2MAIAAAAENDA1MwQAAAABMAcAAAAKMTIvMzEvMjAyMAgAAAAKMTIvMzEvMjAyMAkAAAABMIDIRl/ft9sIiHubpt+32wgrQ0lRLk5ZU0U6TVRaLklRX0VCSVRfTUFSR0lOLjEwMDAuMTIvMzEvMjAyMAEAAABUngIAAgAAAAY3LjE0MDcBCAAAAAUAAAABMQEAAAALLTIwNTY5MTkzOTgDAAAAAzE2MAIAAAAENDA1MwQAAAABMAcAAAAKMTIvMzEvMjAyMAgAAAAKMTIvMzEvMjAyMAkAAAABMIDIRl/ft9sIiHubpt+32wgyQ0lRLk5ZU0U6TVRaLklRX0dST1NTX01BUkdJTi4xMDAwLjEyLzMxLzIwMjAuLi5VU0QBAAAAVJ4CAAIAAAAHMTYuNjEyOAEIAAAABQAAAAExAQAAAAstMjA1NjkxOTM5OAMAAAADMTYwAgAAAAQ0MDc0BAAAAAEwBwAAAAoxMi8zMS8yMDIwCAAAAAoxMi8zMS8yMDIwCQAAAAEwgMhGX9+32whVk52F37fbCDNDSVEuTllTRTpNWVJHLklRX0dST1NTX01BUkdJTi4xMDAwLjEyLzMxLzIwMjAuLi5VU0QFAAAAAAAAAAgAAAAUKEludmFsaWQgSWRlbnRpZmllcimAyEZf37fbCDPSc1/ft9sIMkNJUS5OWVNFOlBX</t>
  </si>
  <si>
    <t>Ui5JUV9HUk9TU19NQVJHSU4uMTAwMC4xMi8zMS8yMDIwLi4uVVNEAQAAAOWCAAACAAAABzE0LjgyNTQBCAAAAAUAAAABMQEAAAALLTIwNTk3NDEzNTcDAAAAAzE2MAIAAAAENDA3NAQAAAABMAcAAAAKMTIvMzEvMjAyMAgAAAAKMTIvMzEvMjAyMAkAAAABMIDIRl/ft9sIVZOdhd+32wgxQ0lRLk5ZU0U6UFdSLklRX1RPVEFMX0RFQlRfRVFVSVRZLjEwMDAuMTIvMzEvMjAxOQEAAADlggAAAgAAAAc0MC44NTE3AQgAAAAFAAAAATEBAAAACy0yMTEwMzY3MjI0AwAAAAMxNjACAAAABDQwMzQEAAAAATAHAAAACjEyLzMxLzIwMTkIAAAACjEyLzMxLzIwMTkJAAAAATCAyEZf37fbCFWTnYXft9sIMUNJUS5OWVNFOk1UWi5JUV9UT1RBTF9ERUJUX0VRVUlUWS4xMDAwLjEyLzMxLzIwMTkBAAAAVJ4CAAIAAAAHOTMuMTI4MwEIAAAABQAAAAExAQAAAAstMjEwOTY5ODEzNwMAAAADMTYwAgAAAAQ0MDM0BAAAAAEwBwAAAAoxMi8zMS8yMDE5CAAAAAoxMi8zMS8yMDE5CQAAAAEwgMhGX9+32whVk52F37fbCDJDSVEuTllTRTpNWVJHLklRX1RPVEFMX0RFQlRfRVFVSVRZLjEwMDAuMTIvMzEvMjAxOQUAAAAAAAAACAAAABQoSW52YWxpZCBJZGVudGlmaWVyKYDIRl/ft9sIM9JzX9+32wgvQ0lRLk5ZU0U6TVRaLklRX0lOVkVOVE9SWV9UVVJOUy4xMDAwLjEyLzMxLzIwMjABAAAAVJ4CAAIAAAAJNTUuNTY2NTc5AQgAAAAF</t>
  </si>
  <si>
    <t>AAAAATEBAAAACy0yMDU2OTE5Mzk4AwAAAAMxNjACAAAABDQwODIEAAAAATAHAAAACjEyLzMxLzIwMjAIAAAACjEyLzMxLzIwMjAJAAAAATCAyEZf37fbCFWTnYXft9sIMENJUS5OWVNFOk1ZUkcuSVFfSU5WRU5UT1JZX1RVUk5TLjEwMDAuMTIvMzEvMjAyMAUAAAAAAAAACAAAABQoSW52YWxpZCBJZGVudGlmaWVyKYDIRl/ft9sIM9JzX9+32wgvQ0lRLk5ZU0U6UFdSLklRX0lOVkVOVE9SWV9UVVJOUy4xMDAwLjEyLzMxLzIwMjABAAAA5YIAAAIAAAAKMTc5LjcxMDYxNQEIAAAABQAAAAExAQAAAAstMjA1OTc0MTM1NwMAAAADMTYwAgAAAAQ0MDgyBAAAAAEwBwAAAAoxMi8zMS8yMDIwCAAAAAoxMi8zMS8yMDIwCQAAAAEwgMhGX9+32whVk52F37fbCDJDSVEuTllTRTpQV1IuSVFfVE9UQUxfREVCVF9DQVBJVEFMLjEwMDAuMTIvMzEvMjAxOQEAAADlggAAAgAAAAcyOS4wMDMzAQgAAAAFAAAAATEBAAAACy0yMTEwMzY3MjI0AwAAAAMxNjACAAAABDQxODYEAAAAATAHAAAACjEyLzMxLzIwMTkIAAAACjEyLzMxLzIwMTkJAAAAATCAyEZf37fbCFWTnYXft9sIMkNJUS5OWVNFOk1UWi5JUV9UT1RBTF9ERUJUX0NBUElUQUwuMTAwMC4xMi8zMS8yMDE5AQAAAFSeAgACAAAABzQ4LjIyMDkBCAAAAAUAAAABMQEAAAALLTIxMDk2OTgxMzcDAAAAAzE2MAIAAAAENDE4NgQAAAABMAcAAAAKMTIvMzEvMjAxOQgAAAAK</t>
  </si>
  <si>
    <t>MTIvMzEvMjAxOQkAAAABMIDIRl/ft9sIVZOdhd+32wgzQ0lRLk5ZU0U6TVlSRy5JUV9UT1RBTF9ERUJUX0NBUElUQUwuMTAwMC4xMi8zMS8yMDE5BQAAAAAAAAAIAAAAFChJbnZhbGlkIElkZW50aWZpZXIpgMhGX9+32wgz0nNf37fbCDVDSVEuTllTRTpNVFouSVFfTkVUX0RFQlRfRUJJVERBLjEwMDAuMTIvMzEvMjAxOS4uLlVTRAEAAABUngIAAgAAAAgxLjE0ODc5MgEIAAAABQAAAAExAQAAAAstMjEwOTY5ODEzNwMAAAADMTYwAgAAAAQ0MTkzBAAAAAEwBwAAAAoxMi8zMS8yMDE5CAAAAAoxMi8zMS8yMDE5CQAAAAEwgMhGX9+32whVk52F37fbCDZDSVEuTllTRTpNWVJHLklRX05FVF9ERUJUX0VCSVREQS4xMDAwLjEyLzMxLzIwMTkuLi5VU0QFAAAAAAAAAAgAAAAUKEludmFsaWQgSWRlbnRpZmllcimAyEZf37fbCDPSc1/ft9sINUNJUS5OWVNFOlBXUi5JUV9ORVRfREVCVF9FQklUREEuMTAwMC4xMi8zMS8yMDE5Li4uVVNEAQAAAOWCAAACAAAACDAuODExMzE1AQgAAAAFAAAAATEBAAAACy0yMTEwMzY3MjI0AwAAAAMxNjACAAAABDQxOTMEAAAAATAHAAAACjEyLzMxLzIwMTkIAAAACjEyLzMxLzIwMTkJAAAAATCAyEZf37fbCFWTnYXft9sIK0NJUS5OWVNFOlBXUi5JUV9BU1NFVF9UVVJOUy4xMDAwLjEyLzMxLzIwMjABAAAA5YIAAAIAAAAIMS4zMzkyMzUBCAAAAAUAAAABMQEAAAALLTIwNTk3NDEz</t>
  </si>
  <si>
    <t>NTcDAAAAAzE2MAIAAAAENDE3NwQAAAABMAcAAAAKMTIvMzEvMjAyMAgAAAAKMTIvMzEvMjAyMAkAAAABMIDIRl/ft9sIVZOdhd+32wgrQ0lRLk5ZU0U6TVRaLklRX0FTU0VUX1RVUk5TLjEwMDAuMTIvMzEvMjAyMAEAAABUngIAAgAAAAgxLjIzNjM5NAEIAAAABQAAAAExAQAAAAstMjA1NjkxOTM5OAMAAAADMTYwAgAAAAQ0MTc3BAAAAAEwBwAAAAoxMi8zMS8yMDIwCAAAAAoxMi8zMS8yMDIwCQAAAAEwgMhGX9+32whVk52F37fbCCxDSVEuTllTRTpNWVJHLklRX0FTU0VUX1RVUk5TLjEwMDAuMTIvMzEvMjAyMAUAAAAAAAAACAAAABQoSW52YWxpZCBJZGVudGlmaWVyKYDIRl/ft9sIM9JzX9+32wgxQ0lRLk5ZU0U6UFdSLklRX1FVSUNLX1JBVElPLjEwMDAuMTIvMzEvMjAxOC4uLlVTRAEAAADlggAAAgAAAAgxLjY2Njg4OQEIAAAABQAAAAExAQAAAAoyMDgyNDgxMjcxAwAAAAMxNjACAAAABDQxMjEEAAAAATAHAAAACjEyLzMxLzIwMTgIAAAACjEyLzMxLzIwMTgJAAAAATCAyEZf37fbCCGrc1/ft9sIM0NJUS5OWVNFOk1UWi5JUV9DVVJSRU5UX1JBVElPLjEwMDAuMTIvMzEvMjAxOC4uLlVTRAEAAABUngIAAgAAAAgxLjY4OTc1NQEIAAAABQAAAAExAQAAAAoyMDgxOTY4Njg0AwAAAAMxNjACAAAABDQwMzAEAAAAATAHAAAACjEyLzMxLzIwMTgIAAAACjEyLzMxLzIwMTgJAAAAATCAyEZf37fbCCGrc1/f</t>
  </si>
  <si>
    <t>t9sIMkNJUS5OWVNFOk1ZUkcuSVFfUVVJQ0tfUkFUSU8uMTAwMC4xMi8zMS8yMDE4Li4uVVNEBQAAAAAAAAAIAAAAFChJbnZhbGlkIElkZW50aWZpZXIpgMhGX9+32wghq3Nf37fbCDRDSVEuTllTRTpNWVJHLklRX0NVUlJFTlRfUkFUSU8uMTAwMC4xMi8zMS8yMDE4Li4uVVNEBQAAAAAAAAAIAAAAFChJbnZhbGlkIElkZW50aWZpZXIpgMhGX9+32wghq3Nf37fbCDFDSVEuTllTRTpNVFouSVFfUVVJQ0tfUkFUSU8uMTAwMC4xMi8zMS8yMDE4Li4uVVNEAQAAAFSeAgACAAAACDEuNTIwMjM2AQgAAAAFAAAAATEBAAAACjIwODE5Njg2ODQDAAAAAzE2MAIAAAAENDEyMQQAAAABMAcAAAAKMTIvMzEvMjAxOAgAAAAKMTIvMzEvMjAxOAkAAAABMIDIRl/ft9sIIatzX9+32wgzQ0lRLk5ZU0U6UFdSLklRX0NVUlJFTlRfUkFUSU8uMTAwMC4xMi8zMS8yMDE4Li4uVVNEAQAAAOWCAAACAAAACDEuODQxNTY3AQgAAAAFAAAAATEBAAAACjIwODI0ODEyNzEDAAAAAzE2MAIAAAAENDAzMAQAAAABMAcAAAAKMTIvMzEvMjAxOAgAAAAKMTIvMzEvMjAxOAkAAAABMIDIRl/ft9sIIatzX9+32wgoQ0lRLk5ZU0U6TVRaLklRX0FSX1RVUk5TLjEwMDAuMTIvMzEvMjAyMAEAAABUngIAAgAAAAczLjQ4MzQ3AQgAAAAFAAAAATEBAAAACy0yMDU2OTE5Mzk4AwAAAAMxNjACAAAABDQwMDEEAAAAATAHAAAACjEyLzMxLzIwMjAIAAAA</t>
  </si>
  <si>
    <t>CjEyLzMxLzIwMjAJAAAAATCAyEZf37fbCFWTnYXft9sIKENJUS5OWVNFOlBXUi5JUV9BUl9UVVJOUy4xMDAwLjEyLzMxLzIwMjABAAAA5YIAAAIAAAAHMy40MzY4OAEIAAAABQAAAAExAQAAAAstMjA1OTc0MTM1NwMAAAADMTYwAgAAAAQ0MDAxBAAAAAEwBwAAAAoxMi8zMS8yMDIwCAAAAAoxMi8zMS8yMDIwCQAAAAEwgMhGX9+32whVk52F37fbCClDSVEuTllTRTpNWVJHLklRX0FSX1RVUk5TLjEwMDAuMTIvMzEvMjAyMAUAAAAAAAAACAAAABQoSW52YWxpZCBJZGVudGlmaWVyKYDIRl/ft9sIIatzX9+32wgzQ0lRLk5ZU0U6TVlSRy5JUV9HUk9TU19NQVJHSU4uMTAwMC4xMi8zMS8yMDIxLi4uVVNEBQAAAAAAAAAIAAAAFChJbnZhbGlkIElkZW50aWZpZXIpgMhGX9+32wghq3Nf37fbCDJDSVEuTllTRTpNVFouSVFfR1JPU1NfTUFSR0lOLjEwMDAuMTIvMzEvMjAyMS4uLlVTRAEAAABUngIAAgAAAAcxNC40MTI0AQgAAAAFAAAAATEBAAAACy0yMDU2OTE5NDE5AwAAAAMxNjACAAAABDQwNzQEAAAAATAHAAAACjEyLzMxLzIwMjEIAAAACjEyLzMxLzIwMjEJAAAAATCAyEZf37fbCFWTnYXft9sIMkNJUS5OWVNFOlBXUi5JUV9HUk9TU19NQVJHSU4uMTAwMC4xMi8zMS8yMDIxLi4uVVNEAQAAAOWCAAACAAAABzE1LjA0NzkBCAAAAAUAAAABMQEAAAALLTIwNTk3NDEzODIDAAAAAzE2MAIAAAAENDA3NAQAAAAB</t>
  </si>
  <si>
    <t>MAcAAAAKMTIvMzEvMjAyMQgAAAAKMTIvMzEvMjAyMQkAAAABMIDIRl/ft9sIVZOdhd+32wgpQ0lRLk5ZU0U6TVRaLklRX05JX01BUkdJTi4xMDAwLjEyLzMxLzIwMjEBAAAAVJ4CAAIAAAAGNC4xMzUzAQgAAAAFAAAAATEBAAAACy0yMDU2OTE5NDE5AwAAAAMxNjACAAAABDQwOTQEAAAAATAHAAAACjEyLzMxLzIwMjEIAAAACjEyLzMxLzIwMjEJAAAAATCAyEZf37fbCETAkaDft9sIKUNJUS5OWVNFOlBXUi5JUV9OSV9NQVJHSU4uMTAwMC4xMi8zMS8yMDIxAQAAAOWCAAACAAAABjMuNzQzOAEIAAAABQAAAAExAQAAAAstMjA1OTc0MTM4MgMAAAADMTYwAgAAAAQ0MDk0BAAAAAEwBwAAAAoxMi8zMS8yMDIxCAAAAAoxMi8zMS8yMDIxCQAAAAEwgMhGX9+32whEwJGg37fbCCpDSVEuTllTRTpNWVJHLklRX05JX01BUkdJTi4xMDAwLjEyLzMxLzIwMjEFAAAAAAAAAAgAAAAUKEludmFsaWQgSWRlbnRpZmllcimAyEZf37fbCCGrc1/ft9sIM0NJUS5OWVNFOlBXUi5JUV9FQklUREFfTUFSR0lOLjEwMDAuMTIvMzEvMjAyMS4uLlVTRAEAAADlggAAAgAAAAU4LjExMQEIAAAABQAAAAExAQAAAAstMjA1OTc0MTM4MgMAAAADMTYwAgAAAAQ0MDQ3BAAAAAEwBwAAAAoxMi8zMS8yMDIxCAAAAAoxMi8zMS8yMDIxCQAAAAEwgMhGX9+32wiaBZWu37fbCDNDSVEuTllTRTpNVFouSVFfRUJJVERBX01BUkdJTi4xMDAwLjEy</t>
  </si>
  <si>
    <t>LzMxLzIwMjEuLi5VU0QBAAAAVJ4CAAIAAAAFMTAuNjQBCAAAAAUAAAABMQEAAAALLTIwNTY5MTk0MTkDAAAAAzE2MAIAAAAENDA0NwQAAAABMAcAAAAKMTIvMzEvMjAyMQgAAAAKMTIvMzEvMjAyMQkAAAABMIDIRl/ft9sImgWVrt+32wg0Q0lRLk5ZU0U6TVlSRy5JUV9FQklUREFfTUFSR0lOLjEwMDAuMTIvMzEvMjAyMS4uLlVTRAUAAAAAAAAACAAAABQoSW52YWxpZCBJZGVudGlmaWVyKYDIRl/ft9sIIatzX9+32wgtQ0lRLk5ZU0U6TVRaLklRX1JFVFVSTl9BU1NFVFMuMTAwMC4xMi8zMS8yMDIxAQAAAFSeAgACAAAABjQuMjg0MQEIAAAABQAAAAExAQAAAAstMjA1NjkxOTQxOQMAAAADMTYwAgAAAAQ0MTc4BAAAAAEwBwAAAAoxMi8zMS8yMDIxCAAAAAoxMi8zMS8yMDIxCQAAAAEwgMhGX9+32wiaBZWu37fbCC1DSVEuTllTRTpQV1IuSVFfUkVUVVJOX0FTU0VUUy4xMDAwLjEyLzMxLzIwMjEBAAAA5YIAAAIAAAAGMy43MTY2AQgAAAAFAAAAATEBAAAACy0yMDU5NzQxMzgyAwAAAAMxNjACAAAABDQxNzgEAAAAATAHAAAACjEyLzMxLzIwMjEIAAAACjEyLzMxLzIwMjEJAAAAATCAyEZf37fbCJoFla7ft9sILkNJUS5OWVNFOk1ZUkcuSVFfUkVUVVJOX0FTU0VUUy4xMDAwLjEyLzMxLzIwMjEFAAAAAAAAAAgAAAAUKEludmFsaWQgSWRlbnRpZmllcimAyEZf37fbCCGrc1/ft9sILUNJUS5OWVNFOk1UWi5J</t>
  </si>
  <si>
    <t>UV9SRVRVUk5fRVFVSVRZLjEwMDAuMTIvMzEvMjAyMQEAAABUngIAAgAAAAcxNC41Mzk1AQgAAAAFAAAAATEBAAAACy0yMDU2OTE5NDE5AwAAAAMxNjACAAAABDQxMjgEAAAAATAHAAAACjEyLzMxLzIwMjEIAAAACjEyLzMxLzIwMjEJAAAAATCAyEZf37fbCEvZJbfjt9sILkNJUS5OWVNFOk1ZUkcuSVFfUkVUVVJOX0VRVUlUWS4xMDAwLjEyLzMxLzIwMjEFAAAAAAAAAAgAAAAUKEludmFsaWQgSWRlbnRpZmllcimAyEZf37fbCCGrc1/ft9sILUNJUS5OWVNFOlBXUi5JUV9SRVRVUk5fRVFVSVRZLjEwMDAuMTIvMzEvMjAyMQEAAADlggAAAgAAAAcxMC4zOTQ4AQgAAAAFAAAAATEBAAAACy0yMDU5NzQxMzgyAwAAAAMxNjACAAAABDQxMjgEAAAAATAHAAAACjEyLzMxLzIwMjEIAAAACjEyLzMxLzIwMjEJAAAAATCAyEZf37fbCEvZJbfjt9sIK0NJUS5OWVNFOlBXUi5JUV9FQklUX01BUkdJTi4xMDAwLjEyLzMxLzIwMjEBAAAA5YIAAAIAAAAGNC44Njg0AQgAAAAFAAAAATEBAAAACy0yMDU5NzQxMzgyAwAAAAMxNjACAAAABDQwNTMEAAAAATAHAAAACjEyLzMxLzIwMjEIAAAACjEyLzMxLzIwMjEJAAAAATCAyEZf37fbCIh7m6bft9sIK0NJUS5OWVNFOk1UWi5JUV9FQklUX01BUkdJTi4xMDAwLjEyLzMxLzIwMjEBAAAAVJ4CAAIAAAAGNS4zMjI3AQgAAAAFAAAAATEBAAAACy0yMDU2OTE5NDE5AwAAAAMxNjAC</t>
  </si>
  <si>
    <t>AAAABDQwNTMEAAAAATAHAAAACjEyLzMxLzIwMjEIAAAACjEyLzMxLzIwMjEJAAAAATCAyEZf37fbCIh7m6bft9sILENJUS5OWVNFOk1ZUkcuSVFfRUJJVF9NQVJHSU4uMTAwMC4xMi8zMS8yMDIxBQAAAAAAAAAIAAAAFChJbnZhbGlkIElkZW50aWZpZXIpgMhGX9+32wgYhHNf37fbCDFDSVEuTllTRTpQV1IuSVFfUVVJQ0tfUkFUSU8uMTAwMC4xMi8zMS8yMDE5Li4uVVNEAQAAAOWCAAACAAAACDEuNTUyODk0AQgAAAAFAAAAATEBAAAACy0yMTEwMzY3MjI0AwAAAAMxNjACAAAABDQxMjEEAAAAATAHAAAACjEyLzMxLzIwMTkIAAAACjEyLzMxLzIwMTkJAAAAATCAyEZf37fbCBiEc1/ft9sIM0NJUS5OWVNFOk1UWi5JUV9DVVJSRU5UX1JBVElPLjEwMDAuMTIvMzEvMjAxOS4uLlVTRAEAAABUngIAAgAAAAgxLjc4Mjg4MgEIAAAABQAAAAExAQAAAAstMjEwOTY5ODEzNwMAAAADMTYwAgAAAAQ0MDMwBAAAAAEwBwAAAAoxMi8zMS8yMDE5CAAAAAoxMi8zMS8yMDE5CQAAAAEwgMhGX9+32wgYhHNf37fbCDJDSVEuTllTRTpNWVJHLklRX1FVSUNLX1JBVElPLjEwMDAuMTIvMzEvMjAxOS4uLlVTRAUAAAAAAAAACAAAABQoSW52YWxpZCBJZGVudGlmaWVyKYDIRl/ft9sIGIRzX9+32wg0Q0lRLk5ZU0U6TVlSRy5JUV9DVVJSRU5UX1JBVElPLjEwMDAuMTIvMzEvMjAxOS4uLlVTRAUAAAAAAAAACAAAABQoSW52YWxp</t>
  </si>
  <si>
    <t>ZCBJZGVudGlmaWVyKYDIRl/ft9sIGIRzX9+32wgxQ0lRLk5ZU0U6TVRaLklRX1FVSUNLX1JBVElPLjEwMDAuMTIvMzEvMjAxOS4uLlVTRAEAAABUngIAAgAAAAgxLjU5NjQ4OAEIAAAABQAAAAExAQAAAAstMjEwOTY5ODEzNwMAAAADMTYwAgAAAAQ0MTIxBAAAAAEwBwAAAAoxMi8zMS8yMDE5CAAAAAoxMi8zMS8yMDE5CQAAAAEwgMhGX9+32wgYhHNf37fbCDNDSVEuTllTRTpQV1IuSVFfQ1VSUkVOVF9SQVRJTy4xMDAwLjEyLzMxLzIwMTkuLi5VU0QBAAAA5YIAAAIAAAAIMS42OTI4NDIBCAAAAAUAAAABMQEAAAALLTIxMTAzNjcyMjQDAAAAAzE2MAIAAAAENDAzMAQAAAABMAcAAAAKMTIvMzEvMjAxOQgAAAAKMTIvMzEvMjAxOQkAAAABMIDIRl/ft9sIGIRzX9+32wgyQ0lRLk5ZU0U6TVRaLklRX1RPVEFMX0RFQlRfQ0FQSVRBTC4xMDAwLjEyLzMxLzIwMjABAAAAVJ4CAAIAAAAHNDIuNjU0MgEIAAAABQAAAAExAQAAAAstMjA1NjkxOTM5OAMAAAADMTYwAgAAAAQ0MTg2BAAAAAEwBwAAAAoxMi8zMS8yMDIwCAAAAAoxMi8zMS8yMDIwCQAAAAEwgMhGX9+32whVk52F37fbCDJDSVEuTllTRTpQV1IuSVFfVE9UQUxfREVCVF9DQVBJVEFMLjEwMDAuMTIvMzEvMjAyMAEAAADlggAAAgAAAAcyNS4wNDMzAQgAAAAFAAAAATEBAAAACy0yMDU5NzQxMzU3AwAAAAMxNjACAAAABDQxODYEAAAAATAHAAAACjEyLzMx</t>
  </si>
  <si>
    <t>LzIwMjAIAAAACjEyLzMxLzIwMjAJAAAAATCAyEZf37fbCFWTnYXft9sIM0NJUS5OWVNFOk1ZUkcuSVFfVE9UQUxfREVCVF9DQVBJVEFMLjEwMDAuMTIvMzEvMjAyMAUAAAAAAAAACAAAABQoSW52YWxpZCBJZGVudGlmaWVyKYDIRl/ft9sIGIRzX9+32wgxQ0lRLk5ZU0U6UFdSLklRX1RPVEFMX0RFQlRfRVFVSVRZLjEwMDAuMTIvMzEvMjAyMAEAAADlggAAAgAAAAczMy40MTA1AQgAAAAFAAAAATEBAAAACy0yMDU5NzQxMzU3AwAAAAMxNjACAAAABDQwMzQEAAAAATAHAAAACjEyLzMxLzIwMjAIAAAACjEyLzMxLzIwMjAJAAAAATCAyEZf37fbCFWTnYXft9sIMUNJUS5OWVNFOk1UWi5JUV9UT1RBTF9ERUJUX0VRVUlUWS4xMDAwLjEyLzMxLzIwMjABAAAAVJ4CAAIAAAAHNzQuMzgwOQEIAAAABQAAAAExAQAAAAstMjA1NjkxOTM5OAMAAAADMTYwAgAAAAQ0MDM0BAAAAAEwBwAAAAoxMi8zMS8yMDIwCAAAAAoxMi8zMS8yMDIwCQAAAAEwgMhGX9+32whVk52F37fbCDJDSVEuTllTRTpNWVJHLklRX1RPVEFMX0RFQlRfRVFVSVRZLjEwMDAuMTIvMzEvMjAyMAUAAAAAAAAACAAAABQoSW52YWxpZCBJZGVudGlmaWVyKYDIRl/ft9sIGIRzX9+32wgvQ0lRLk5ZU0U6TVRaLklRX0lOVkVOVE9SWV9UVVJOUy4xMDAwLjEyLzMxLzIwMjEBAAAAVJ4CAAIAAAAJNzQuNjg5ODA0AQgAAAAFAAAAATEBAAAACy0yMDU2OTE5</t>
  </si>
  <si>
    <t>NDE5AwAAAAMxNjACAAAABDQwODIEAAAAATAHAAAACjEyLzMxLzIwMjEIAAAACjEyLzMxLzIwMjEJAAAAATCAyEZf37fbCFWTnYXft9sIMENJUS5OWVNFOk1ZUkcuSVFfSU5WRU5UT1JZX1RVUk5TLjEwMDAuMTIvMzEvMjAyMQUAAAAAAAAACAAAABQoSW52YWxpZCBJZGVudGlmaWVyKYDIRl/ft9sIGIRzX9+32wgvQ0lRLk5ZU0U6UFdSLklRX0lOVkVOVE9SWV9UVVJOUy4xMDAwLjEyLzMxLzIwMjEBAAAA5YIAAAIAAAAKMTYzLjIwMzkxMwEIAAAABQAAAAExAQAAAAstMjA1OTc0MTM4MgMAAAADMTYwAgAAAAQ0MDgyBAAAAAEwBwAAAAoxMi8zMS8yMDIxCAAAAAoxMi8zMS8yMDIxCQAAAAEwgMhGX9+32whVk52F37fbCCtDSVEuTllTRTpNVFouSVFfQVNTRVRfVFVSTlMuMTAwMC4xMi8zMS8yMDIxAQAAAFSeAgACAAAACDEuMjg3ODE2AQgAAAAFAAAAATEBAAAACy0yMDU2OTE5NDE5AwAAAAMxNjACAAAABDQxNzcEAAAAATAHAAAACjEyLzMxLzIwMjEIAAAACjEyLzMxLzIwMjEJAAAAATCAyEZf37fbCFWTnYXft9sIK0NJUS5OWVNFOlBXUi5JUV9BU1NFVF9UVVJOUy4xMDAwLjEyLzMxLzIwMjEBAAAA5YIAAAIAAAAIMS4yMjE0NjgBCAAAAAUAAAABMQEAAAALLTIwNTk3NDEzODIDAAAAAzE2MAIAAAAENDE3NwQAAAABMAcAAAAKMTIvMzEvMjAyMQgAAAAKMTIvMzEvMjAyMQkAAAABMIDIRl/ft9sIVZOdhd+3</t>
  </si>
  <si>
    <t>2wgsQ0lRLk5ZU0U6TVlSRy5JUV9BU1NFVF9UVVJOUy4xMDAwLjEyLzMxLzIwMjEFAAAAAAAAAAgAAAAUKEludmFsaWQgSWRlbnRpZmllcimAyEZf37fbCANdc1/ft9sIKUNJUS5OWVNFOk1ZUkcuSVFfQVJfVFVSTlMuMTAwMC4xMi8zMS8yMDIxBQAAAAAAAAAIAAAAFChJbnZhbGlkIElkZW50aWZpZXIpgMhGX9+32wgYhHNf37fbCChDSVEuTllTRTpNVFouSVFfQVJfVFVSTlMuMTAwMC4xMi8zMS8yMDIxAQAAAFSeAgACAAAACDMuOTc0NDE3AQgAAAAFAAAAATEBAAAACy0yMDU2OTE5NDE5AwAAAAMxNjACAAAABDQwMDEEAAAAATAHAAAACjEyLzMxLzIwMjEIAAAACjEyLzMxLzIwMjEJAAAAATCAyEZf37fbCFWTnYXft9sIKENJUS5OWVNFOlBXUi5JUV9BUl9UVVJOUy4xMDAwLjEyLzMxLzIwMjEBAAAA5YIAAAIAAAAIMy41MjA2ODUBCAAAAAUAAAABMQEAAAALLTIwNTk3NDEzODIDAAAAAzE2MAIAAAAENDAwMQQAAAABMAcAAAAKMTIvMzEvMjAyMQgAAAAKMTIvMzEvMjAyMQkAAAABMIDIRl/ft9sIVZOdhd+32wg1Q0lRLk5ZU0U6TVRaLklRX05FVF9ERUJUX0VCSVREQS4xMDAwLjEyLzMxLzIwMjAuLi5VU0QBAAAAVJ4CAAIAAAAIMC44OTU2NjIBCAAAAAUAAAABMQEAAAALLTIwNTY5MTkzOTgDAAAAAzE2MAIAAAAENDE5MwQAAAABMAcAAAAKMTIvMzEvMjAyMAgAAAAKMTIvMzEvMjAyMAkAAAABMIDIRl/f</t>
  </si>
  <si>
    <t>t9sIVZOdhd+32wg2Q0lRLk5ZU0U6TVlSRy5JUV9ORVRfREVCVF9FQklUREEuMTAwMC4xMi8zMS8yMDIwLi4uVVNEBQAAAAAAAAAIAAAAFChJbnZhbGlkIElkZW50aWZpZXIpgMhGX9+32wgDXXNf37fbCDVDSVEuTllTRTpQV1IuSVFfTkVUX0RFQlRfRUJJVERBLjEwMDAuMTIvMzEvMjAyMC4uLlVTRAEAAADlggAAAgAAAAgwLjc0NjcwNwEIAAAABQAAAAExAQAAAAstMjA1OTc0MTM1NwMAAAADMTYwAgAAAAQ0MTkzBAAAAAEwBwAAAAoxMi8zMS8yMDIwCAAAAAoxMi8zMS8yMDIwCQAAAAEwgMhGX9+32whVk52F37fbCDNDSVEuTllTRTpNWVJHLklRX0dST1NTX01BUkdJTi4xMDAwLjEyLzMxLzIwMjIuLi5VU0QFAAAAAAAAAAgAAAAUKEludmFsaWQgSWRlbnRpZmllcimAyEZf37fbCANdc1/ft9sIMkNJUS5OWVNFOk1UWi5JUV9HUk9TU19NQVJHSU4uMTAwMC4xMi8zMS8yMDIyLi4uVVNEAQAAAFSeAgACAAAABzEyLjQ4NzIBCAAAAAUAAAABMQEAAAALLTIwNTY5MTk0MjYDAAAAAzE2MAIAAAAENDA3NAQAAAABMAcAAAAKMTIvMzEvMjAyMggAAAAKMTIvMzEvMjAyMgkAAAABMIDIRl/ft9sIVZOdhd+32wgyQ0lRLk5ZU0U6UFdSLklRX0dST1NTX01BUkdJTi4xMDAwLjEyLzMxLzIwMjIuLi5VU0QBAAAA5YIAAAIAAAAHMTQuODEyOQEIAAAABQAAAAExAQAAAAstMjA1OTc0MTM3MwMAAAADMTYwAgAAAAQ0MDc0</t>
  </si>
  <si>
    <t>BAAAAAEwBwAAAAoxMi8zMS8yMDIyCAAAAAoxMi8zMS8yMDIyCQAAAAEwgMhGX9+32whVk52F37fbCC1DSVEuTllTRTpNVFouSVFfUkVUVVJOX0VRVUlUWS4xMDAwLjEyLzMxLzIwMjIBAAAAVJ4CAAIAAAAGMS4yODI0AQgAAAAFAAAAATEBAAAACy0yMDU2OTE5NDI2AwAAAAMxNjACAAAABDQxMjgEAAAAATAHAAAACjEyLzMxLzIwMjIIAAAACjEyLzMxLzIwMjIJAAAAATCAyEZf37fbCEvZJbfjt9sILkNJUS5OWVNFOk1ZUkcuSVFfUkVUVVJOX0VRVUlUWS4xMDAwLjEyLzMxLzIwMjIFAAAAAAAAAAgAAAAUKEludmFsaWQgSWRlbnRpZmllcimAyEZf37fbCANdc1/ft9sILUNJUS5OWVNFOlBXUi5JUV9SRVRVUk5fRVFVSVRZLjEwMDAuMTIvMzEvMjAyMgEAAADlggAAAgAAAAY5LjczMDkBCAAAAAUAAAABMQEAAAALLTIwNTk3NDEzNzMDAAAAAzE2MAIAAAAENDEyOAQAAAABMAcAAAAKMTIvMzEvMjAyMggAAAAKMTIvMzEvMjAyMgkAAAABMIDIRl/ft9sIS9klt+O32wgtQ0lRLk5ZU0U6TVRaLklRX1JFVFVSTl9BU1NFVFMuMTAwMC4xMi8zMS8yMDIyAQAAAFSeAgACAAAABjEuNzAxMwEIAAAABQAAAAExAQAAAAstMjA1NjkxOTQyNgMAAAADMTYwAgAAAAQ0MTc4BAAAAAEwBwAAAAoxMi8zMS8yMDIyCAAAAAoxMi8zMS8yMDIyCQAAAAEwgMhGX9+32wiaBZWu37fbCC5DSVEuTllTRTpNWVJHLklRX1JFVFVSTl9B</t>
  </si>
  <si>
    <t>U1NFVFMuMTAwMC4xMi8zMS8yMDIyBQAAAAAAAAAIAAAAFChJbnZhbGlkIElkZW50aWZpZXIpgMhGX9+32wgDXXNf37fbCC1DSVEuTllTRTpQV1IuSVFfUkVUVVJOX0FTU0VUUy4xMDAwLjEyLzMxLzIwMjIBAAAA5YIAAAIAAAAGMy45ODIxAQgAAAAFAAAAATEBAAAACy0yMDU5NzQxMzczAwAAAAMxNjACAAAABDQxNzgEAAAAATAHAAAACjEyLzMxLzIwMjIIAAAACjEyLzMxLzIwMjIJAAAAATCAyEZf37fbCJoFla7ft9sIM0NJUS5OWVNFOlBXUi5JUV9FQklUREFfTUFSR0lOLjEwMDAuMTIvMzEvMjAyMi4uLlVTRAEAAADlggAAAgAAAAY4LjY4NjMBCAAAAAUAAAABMQEAAAALLTIwNTk3NDEzNzMDAAAAAzE2MAIAAAAENDA0NwQAAAABMAcAAAAKMTIvMzEvMjAyMggAAAAKMTIvMzEvMjAyMgkAAAABMIDIRl/ft9sImgWVrt+32wgzQ0lRLk5ZU0U6TVRaLklRX0VCSVREQV9NQVJHSU4uMTAwMC4xMi8zMS8yMDIyLi4uVVNEAQAAAFSeAgACAAAABjcuNDcxNQEIAAAABQAAAAExAQAAAAstMjA1NjkxOTQyNgMAAAADMTYwAgAAAAQ0MDQ3BAAAAAEwBwAAAAoxMi8zMS8yMDIyCAAAAAoxMi8zMS8yMDIyCQAAAAEwgMhGX9+32wiaBZWu37fbCDRDSVEuTllTRTpNWVJHLklRX0VCSVREQV9NQVJHSU4uMTAwMC4xMi8zMS8yMDIyLi4uVVNEBQAAAAAAAAAIAAAAFChJbnZhbGlkIElkZW50aWZpZXIpgMhGX9+32wgDXXNf</t>
  </si>
  <si>
    <t>37fbCClDSVEuTllTRTpNVFouSVFfTklfTUFSR0lOLjEwMDAuMTIvMzEvMjAyMgEAAABUngIAAgAAAAYwLjM0MTEBCAAAAAUAAAABMQEAAAALLTIwNTY5MTk0MjYDAAAAAzE2MAIAAAAENDA5NAQAAAABMAcAAAAKMTIvMzEvMjAyMggAAAAKMTIvMzEvMjAyMgkAAAABMIDIRl/ft9sIRMCRoN+32wgqQ0lRLk5ZU0U6TVlSRy5JUV9OSV9NQVJHSU4uMTAwMC4xMi8zMS8yMDIyBQAAAAAAAAAIAAAAFChJbnZhbGlkIElkZW50aWZpZXIpgMhGX9+32wgDXXNf37fbCClDSVEuTllTRTpQV1IuSVFfTklfTUFSR0lOLjEwMDAuMTIvMzEvMjAyMgEAAADlggAAAgAAAAYyLjg3NjgBCAAAAAUAAAABMQEAAAALLTIwNTk3NDEzNzMDAAAAAzE2MAIAAAAENDA5NAQAAAABMAcAAAAKMTIvMzEvMjAyMggAAAAKMTIvMzEvMjAyMgkAAAABMIDIRl/ft9sIRMCRoN+32wgrQ0lRLk5ZU0U6UFdSLklRX0VCSVRfTUFSR0lOLjEwMDAuMTIvMzEvMjAyMgEAAADlggAAAgAAAAY0LjkxMDgBCAAAAAUAAAABMQEAAAALLTIwNTk3NDEzNzMDAAAAAzE2MAIAAAAENDA1MwQAAAABMAcAAAAKMTIvMzEvMjAyMggAAAAKMTIvMzEvMjAyMgkAAAABMIDIRl/ft9sIiHubpt+32wgrQ0lRLk5ZU0U6TVRaLklRX0VCSVRfTUFSR0lOLjEwMDAuMTIvMzEvMjAyMgEAAABUngIAAgAAAAYyLjI4NDkBCAAAAAUAAAABMQEAAAALLTIwNTY5MTk0MjYDAAAA</t>
  </si>
  <si>
    <t>AzE2MAIAAAAENDA1MwQAAAABMAcAAAAKMTIvMzEvMjAyMggAAAAKMTIvMzEvMjAyMgkAAAABMIDIRl/ft9sIiHubpt+32wgsQ0lRLk5ZU0U6TVlSRy5JUV9FQklUX01BUkdJTi4xMDAwLjEyLzMxLzIwMjIFAAAAAAAAAAgAAAAUKEludmFsaWQgSWRlbnRpZmllcimAyEZf37fbCPM1c1/ft9sINUNJUS5OWVNFOk1UWi5JUV9ORVRfREVCVF9FQklUREEuMTAwMC4xMi8zMS8yMDIxLi4uVVNEAQAAAFSeAgACAAAACDEuMzIzNjc2AQgAAAAFAAAAATEBAAAACy0yMDU2OTE5NDE5AwAAAAMxNjACAAAABDQxOTMEAAAAATAHAAAACjEyLzMxLzIwMjEIAAAACjEyLzMxLzIwMjEJAAAAATCAyEZf37fbCFWTnYXft9sINkNJUS5OWVNFOk1ZUkcuSVFfTkVUX0RFQlRfRUJJVERBLjEwMDAuMTIvMzEvMjAyMS4uLlVTRAUAAAAAAAAACAAAABQoSW52YWxpZCBJZGVudGlmaWVyKYDIRl/ft9sI8zVzX9+32wg1Q0lRLk5ZU0U6UFdSLklRX05FVF9ERUJUX0VCSVREQS4xMDAwLjEyLzMxLzIwMjEuLi5VU0QBAAAA5YIAAAIAAAAIMS45OTgzOTgBCAAAAAUAAAABMQEAAAALLTIwNTk3NDEzODIDAAAAAzE2MAIAAAAENDE5MwQAAAABMAcAAAAKMTIvMzEvMjAyMQgAAAAKMTIvMzEvMjAyMQkAAAABMIDIRl/ft9sIVZOdhd+32wgxQ0lRLk5ZU0U6UFdSLklRX1RPVEFMX0RFQlRfRVFVSVRZLjEwMDAuMTIvMzEvMjAyMQEAAADlggAA</t>
  </si>
  <si>
    <t>AgAAAAc3OC4yMTczAQgAAAAFAAAAATEBAAAACy0yMDU5NzQxMzgyAwAAAAMxNjACAAAABDQwMzQEAAAAATAHAAAACjEyLzMxLzIwMjEIAAAACjEyLzMxLzIwMjEJAAAAATCAyEZf37fbCFWTnYXft9sIMUNJUS5OWVNFOk1UWi5JUV9UT1RBTF9ERUJUX0VRVUlUWS4xMDAwLjEyLzMxLzIwMjEBAAAAVJ4CAAIAAAAHODkuODYxMwEIAAAABQAAAAExAQAAAAstMjA1NjkxOTQxOQMAAAADMTYwAgAAAAQ0MDM0BAAAAAEwBwAAAAoxMi8zMS8yMDIxCAAAAAoxMi8zMS8yMDIxCQAAAAEwgMhGX9+32whVk52F37fbCDJDSVEuTllTRTpNWVJHLklRX1RPVEFMX0RFQlRfRVFVSVRZLjEwMDAuMTIvMzEvMjAyMQUAAAAAAAAACAAAABQoSW52YWxpZCBJZGVudGlmaWVyKYDIRl/ft9sI8zVzX9+32wgyQ0lRLk5ZU0U6UFdSLklRX1RPVEFMX0RFQlRfQ0FQSVRBTC4xMDAwLjEyLzMxLzIwMjEBAAAA5YIAAAIAAAAHNDMuODg4NwEIAAAABQAAAAExAQAAAAstMjA1OTc0MTM4MgMAAAADMTYwAgAAAAQ0MTg2BAAAAAEwBwAAAAoxMi8zMS8yMDIxCAAAAAoxMi8zMS8yMDIxCQAAAAEwgMhGX9+32whVk52F37fbCDNDSVEuTllTRTpNWVJHLklRX1RPVEFMX0RFQlRfQ0FQSVRBTC4xMDAwLjEyLzMxLzIwMjEFAAAAAAAAAAgAAAAUKEludmFsaWQgSWRlbnRpZmllcimAyEZf37fbCPM1c1/ft9sIMkNJUS5OWVNFOk1UWi5JUV9UT1RB</t>
  </si>
  <si>
    <t>TF9ERUJUX0NBUElUQUwuMTAwMC4xMi8zMS8yMDIxAQAAAFSeAgACAAAABzQ3LjMyOTkBCAAAAAUAAAABMQEAAAALLTIwNTY5MTk0MTkDAAAAAzE2MAIAAAAENDE4NgQAAAABMAcAAAAKMTIvMzEvMjAyMQgAAAAKMTIvMzEvMjAyMQkAAAABMIDIRl/ft9sIVZOdhd+32wgzQ0lRLk5ZU0U6TVRaLklRX0NVUlJFTlRfUkFUSU8uMTAwMC4xMi8zMS8yMDIwLi4uVVNEAQAAAFSeAgACAAAACDEuNjY2OTEzAQgAAAAFAAAAATEBAAAACy0yMDU2OTE5Mzk4AwAAAAMxNjACAAAABDQwMzAEAAAAATAHAAAACjEyLzMxLzIwMjAIAAAACjEyLzMxLzIwMjAJAAAAATCAyEZf37fbCPM1c1/ft9sIMUNJUS5OWVNFOk1UWi5JUV9RVUlDS19SQVRJTy4xMDAwLjEyLzMxLzIwMjAuLi5VU0QBAAAAVJ4CAAIAAAAIMS41NTA1NTgBCAAAAAUAAAABMQEAAAALLTIwNTY5MTkzOTgDAAAAAzE2MAIAAAAENDEyMQQAAAABMAcAAAAKMTIvMzEvMjAyMAgAAAAKMTIvMzEvMjAyMAkAAAABMIDIRl/ft9sI8zVzX9+32wg0Q0lRLk5ZU0U6TVlSRy5JUV9DVVJSRU5UX1JBVElPLjEwMDAuMTIvMzEvMjAyMC4uLlVTRAUAAAAAAAAACAAAABQoSW52YWxpZCBJZGVudGlmaWVyKYDIRl/ft9sI8zVzX9+32wgyQ0lRLk5ZU0U6TVlSRy5JUV9RVUlDS19SQVRJTy4xMDAwLjEyLzMxLzIwMjAuLi5VU0QFAAAAAAAAAAgAAAAUKEludmFsaWQgSWRlbnRp</t>
  </si>
  <si>
    <t>ZmllcimAyEZf37fbCPM1c1/ft9sIMUNJUS5OWVNFOlBXUi5JUV9RVUlDS19SQVRJTy4xMDAwLjEyLzMxLzIwMjAuLi5VU0QBAAAA5YIAAAIAAAAIMS41Njg3ODUBCAAAAAUAAAABMQEAAAALLTIwNTk3NDEzNTcDAAAAAzE2MAIAAAAENDEyMQQAAAABMAcAAAAKMTIvMzEvMjAyMAgAAAAKMTIvMzEvMjAyMAkAAAABMIDIRl/ft9sI8zVzX9+32wgzQ0lRLk5ZU0U6UFdSLklRX0NVUlJFTlRfUkFUSU8uMTAwMC4xMi8zMS8yMDIwLi4uVVNEAQAAAOWCAAACAAAACDEuNjc3OTQ5AQgAAAAFAAAAATEBAAAACy0yMDU5NzQxMzU3AwAAAAMxNjACAAAABDQwMzAEAAAAATAHAAAACjEyLzMxLzIwMjAIAAAACjEyLzMxLzIwMjAJAAAAATCAyEZf37fbCPM1c1/ft9sIKUNJUS5OWVNFOk1ZUkcuSVFfQVJfVFVSTlMuMTAwMC4xMi8zMS8yMDIyBQAAAAAAAAAIAAAAFChJbnZhbGlkIElkZW50aWZpZXIpgMhGX9+32wj3DnNf37fbCChDSVEuTllTRTpNVFouSVFfQVJfVFVSTlMuMTAwMC4xMi8zMS8yMDIyAQAAAFSeAgACAAAACDMuNjM3MDc1AQgAAAAFAAAAATEBAAAACy0yMDU2OTE5NDI2AwAAAAMxNjACAAAABDQwMDEEAAAAATAHAAAACjEyLzMxLzIwMjIIAAAACjEyLzMxLzIwMjIJAAAAATCAyEZf37fbCFWTnYXft9sIKENJUS5OWVNFOlBXUi5JUV9BUl9UVVJOUy4xMDAwLjEyLzMxLzIwMjIBAAAA5YIAAAIAAAAIMy44</t>
  </si>
  <si>
    <t>MTE3NzYBCAAAAAUAAAABMQEAAAALLTIwNTk3NDEzNzMDAAAAAzE2MAIAAAAENDAwMQQAAAABMAcAAAAKMTIvMzEvMjAyMggAAAAKMTIvMzEvMjAyMgkAAAABMIDIRl/ft9sIVZOdhd+32wgrQ0lRLk5ZU0U6TVRaLklRX0FTU0VUX1RVUk5TLjEwMDAuMTIvMzEvMjAyMgEAAABUngIAAgAAAAgxLjE5MTM3OQEIAAAABQAAAAExAQAAAAstMjA1NjkxOTQyNgMAAAADMTYwAgAAAAQ0MTc3BAAAAAEwBwAAAAoxMi8zMS8yMDIyCAAAAAoxMi8zMS8yMDIyCQAAAAEwgMhGX9+32whVk52F37fbCCtDSVEuTllTRTpQV1IuSVFfQVNTRVRfVFVSTlMuMTAwMC4xMi8zMS8yMDIyAQAAAOWCAAACAAAACDEuMjk3NDMyAQgAAAAFAAAAATEBAAAACy0yMDU5NzQxMzczAwAAAAMxNjACAAAABDQxNzcEAAAAATAHAAAACjEyLzMxLzIwMjIIAAAACjEyLzMxLzIwMjIJAAAAATCAyEZf37fbCFWTnYXft9sILENJUS5OWVNFOk1ZUkcuSVFfQVNTRVRfVFVSTlMuMTAwMC4xMi8zMS8yMDIyBQAAAAAAAAAIAAAAFChJbnZhbGlkIElkZW50aWZpZXIpgMhGX9+32wj3DnNf37fbCC9DSVEuTllTRTpNVFouSVFfSU5WRU5UT1JZX1RVUk5TLjEwMDAuMTIvMzEvMjAyMgEAAABUngIAAgAAAAk4MS4yNzcyNjQBCAAAAAUAAAABMQEAAAALLTIwNTY5MTk0MjYDAAAAAzE2MAIAAAAENDA4MgQAAAABMAcAAAAKMTIvMzEvMjAyMggAAAAKMTIvMzEv</t>
  </si>
  <si>
    <t>MjAyMgkAAAABMIDIRl/ft9sIVZOdhd+32wgwQ0lRLk5ZU0U6TVlSRy5JUV9JTlZFTlRPUllfVFVSTlMuMTAwMC4xMi8zMS8yMDIyBQAAAAAAAAAIAAAAFChJbnZhbGlkIElkZW50aWZpZXIpgMhGX9+32wj3DnNf37fbCC9DSVEuTllTRTpQV1IuSVFfSU5WRU5UT1JZX1RVUk5TLjEwMDAuMTIvMzEvMjAyMgEAAADlggAAAgAAAAoxNTQuNzkzOTM3AQgAAAAFAAAAATEBAAAACy0yMDU5NzQxMzczAwAAAAMxNjACAAAABDQwODIEAAAAATAHAAAACjEyLzMxLzIwMjIIAAAACjEyLzMxLzIwMjIJAAAAATCAyEZf37fbCFWTnYXft9sIM0NJUS5OWVNFOlBXUi5JUV9DVVJSRU5UX1JBVElPLjEwMDAuMTIvMzEvMjAyMS4uLlVTRAEAAADlggAAAgAAAAgxLjQ5NTMwMwEIAAAABQAAAAExAQAAAAstMjA1OTc0MTM4MgMAAAADMTYwAgAAAAQ0MDMwBAAAAAEwBwAAAAoxMi8zMS8yMDIxCAAAAAoxMi8zMS8yMDIxCQAAAAEwgMhGX9+32wj3DnNf37fbCDNDSVEuTllTRTpNVFouSVFfQ1VSUkVOVF9SQVRJTy4xMDAwLjEyLzMxLzIwMjEuLi5VU0QBAAAAVJ4CAAIAAAAHMS42MTA0MgEIAAAABQAAAAExAQAAAAstMjA1NjkxOTQxOQMAAAADMTYwAgAAAAQ0MDMwBAAAAAEwBwAAAAoxMi8zMS8yMDIxCAAAAAoxMi8zMS8yMDIxCQAAAAEwgMhGX9+32wj3DnNf37fbCDJDSVEuTllTRTpNWVJHLklRX1FVSUNLX1JBVElPLjEwMDAu</t>
  </si>
  <si>
    <t>MTIvMzEvMjAyMS4uLlVTRAUAAAAAAAAACAAAABQoSW52YWxpZCBJZGVudGlmaWVyKYDIRl/ft9sI9w5zX9+32wgxQ0lRLk5ZU0U6TVRaLklRX1FVSUNLX1JBVElPLjEwMDAuMTIvMzEvMjAyMS4uLlVTRAEAAABUngIAAgAAAAgxLjQ2NTgxMwEIAAAABQAAAAExAQAAAAstMjA1NjkxOTQxOQMAAAADMTYwAgAAAAQ0MTIxBAAAAAEwBwAAAAoxMi8zMS8yMDIxCAAAAAoxMi8zMS8yMDIxCQAAAAEwgMhGX9+32wj3DnNf37fbCDRDSVEuTllTRTpNWVJHLklRX0NVUlJFTlRfUkFUSU8uMTAwMC4xMi8zMS8yMDIxLi4uVVNEBQAAAAAAAAAIAAAAFChJbnZhbGlkIElkZW50aWZpZXIpgMhGX9+32wj3DnNf37fbCDFDSVEuTllTRTpQV1IuSVFfUVVJQ0tfUkFUSU8uMTAwMC4xMi8zMS8yMDIxLi4uVVNEAQAAAOWCAAACAAAACDEuNDAwNzM0AQgAAAAFAAAAATEBAAAACy0yMDU5NzQxMzgyAwAAAAMxNjACAAAABDQxMjEEAAAAATAHAAAACjEyLzMxLzIwMjEIAAAACjEyLzMxLzIwMjEJAAAAATCAyEZf37fbCPcOc1/ft9sIMkNJUS5OWVNFOlBXUi5JUV9UT1RBTF9ERUJUX0NBUElUQUwuMTAwMC4xMi8zMS8yMDIyAQAAAOWCAAACAAAABzQyLjQwODMBCAAAAAUAAAABMQEAAAALLTIwNTk3NDEzNzMDAAAAAzE2MAIAAAAENDE4NgQAAAABMAcAAAAKMTIvMzEvMjAyMggAAAAKMTIvMzEvMjAyMgkAAAABMIDIRl/ft9sIVZOd</t>
  </si>
  <si>
    <t>hd+32wgzQ0lRLk5ZU0U6TVlSRy5JUV9UT1RBTF9ERUJUX0NBUElUQUwuMTAwMC4xMi8zMS8yMDIyBQAAAAAAAAAIAAAAFChJbnZhbGlkIElkZW50aWZpZXIpgMhGX9+32wj3DnNf37fbCDJDSVEuTllTRTpNVFouSVFfVE9UQUxfREVCVF9DQVBJVEFMLjEwMDAuMTIvMzEvMjAyMgEAAABUngIAAgAAAAc1Ni4xODIxAQgAAAAFAAAAATEBAAAACy0yMDU2OTE5NDI2AwAAAAMxNjACAAAABDQxODYEAAAAATAHAAAACjEyLzMxLzIwMjIIAAAACjEyLzMxLzIwMjIJAAAAATCAyEZf37fbCFWTnYXft9sIMUNJUS5OWVNFOk1UWi5JUV9UT1RBTF9ERUJUX0VRVUlUWS4xMDAwLjEyLzMxLzIwMjIBAAAAVJ4CAAIAAAAIMTI4LjIxNzIBCAAAAAUAAAABMQEAAAALLTIwNTY5MTk0MjYDAAAAAzE2MAIAAAAENDAzNAQAAAABMAcAAAAKMTIvMzEvMjAyMggAAAAKMTIvMzEvMjAyMgkAAAABMIDIRl/ft9sIVZOdhd+32wgyQ0lRLk5ZU0U6TVlSRy5JUV9UT1RBTF9ERUJUX0VRVUlUWS4xMDAwLjEyLzMxLzIwMjIFAAAAAAAAAAgAAAAUKEludmFsaWQgSWRlbnRpZmllcimAyEZf37fbCPcOc1/ft9sIMUNJUS5OWVNFOlBXUi5JUV9UT1RBTF9ERUJUX0VRVUlUWS4xMDAwLjEyLzMxLzIwMjIBAAAA5YIAAAIAAAAHNzMuNjM2MwEIAAAABQAAAAExAQAAAAstMjA1OTc0MTM3MwMAAAADMTYwAgAAAAQ0MDM0BAAAAAEwBwAAAAoxMi8z</t>
  </si>
  <si>
    <t>MS8yMDIyCAAAAAoxMi8zMS8yMDIyCQAAAAEwgMhGX9+32whVk52F37fbCDVDSVEuTllTRTpNVFouSVFfTkVUX0RFQlRfRUJJVERBLjEwMDAuMTIvMzEvMjAyMi4uLlVTRAEAAABUngIAAgAAAAgyLjUzMDM1MwEIAAAABQAAAAExAQAAAAstMjA1NjkxOTQyNgMAAAADMTYwAgAAAAQ0MTkzBAAAAAEwBwAAAAoxMi8zMS8yMDIyCAAAAAoxMi8zMS8yMDIyCQAAAAEwgMhGX9+32whVk52F37fbCDVDSVEuTllTRTpQV1IuSVFfTkVUX0RFQlRfRUJJVERBLjEwMDAuMTIvMzEvMjAyMi4uLlVTRAEAAADlggAAAgAAAAgxLjM5MzY3OQEIAAAABQAAAAExAQAAAAstMjA1OTc0MTM3MwMAAAADMTYwAgAAAAQ0MTkzBAAAAAEwBwAAAAoxMi8zMS8yMDIyCAAAAAoxMi8zMS8yMDIyCQAAAAEwgMhGX9+32whVk52F37fbCDZDSVEuTllTRTpNWVJHLklRX05FVF9ERUJUX0VCSVREQS4xMDAwLjEyLzMxLzIwMjIuLi5VU0QFAAAAAAAAAAgAAAAUKEludmFsaWQgSWRlbnRpZmllcimAyEZf37fbCKjncl/ft9sIM0NJUS5OWVNFOk1UWi5JUV9DVVJSRU5UX1JBVElPLjEwMDAuMTIvMzEvMjAyMi4uLlVTRAEAAABUngIAAgAAAAgxLjU0NjEwMQEIAAAABQAAAAExAQAAAAstMjA1NjkxOTQyNgMAAAADMTYwAgAAAAQ0MDMwBAAAAAEwBwAAAAoxMi8zMS8yMDIyCAAAAAoxMi8zMS8yMDIyCQAAAAEwgMhGX9+32wio53Jf37fbCDJDSVEu</t>
  </si>
  <si>
    <t>TllTRTpNWVJHLklRX1FVSUNLX1JBVElPLjEwMDAuMTIvMzEvMjAyMi4uLlVTRAUAAAAAAAAACAAAABQoSW52YWxpZCBJZGVudGlmaWVyKYDIRl/ft9sIqOdyX9+32wgxQ0lRLk5ZU0U6TVRaLklRX1FVSUNLX1JBVElPLjEwMDAuMTIvMzEvMjAyMi4uLlVTRAEAAABUngIAAgAAAAgxLjQwMjM4NwEIAAAABQAAAAExAQAAAAstMjA1NjkxOTQyNgMAAAADMTYwAgAAAAQ0MTIxBAAAAAEwBwAAAAoxMi8zMS8yMDIyCAAAAAoxMi8zMS8yMDIyCQAAAAEwgMhGX9+32wio53Jf37fbCDRDSVEuTllTRTpNWVJHLklRX0NVUlJFTlRfUkFUSU8uMTAwMC4xMi8zMS8yMDIyLi4uVVNEBQAAAAAAAAAIAAAAFChJbnZhbGlkIElkZW50aWZpZXIpgMhGX9+32wio53Jf37fbCDFDSVEuTllTRTpQV1IuSVFfUVVJQ0tfUkFUSU8uMTAwMC4xMi8zMS8yMDIyLi4uVVNEAQAAAOWCAAACAAAACDEuNTIxNzk3AQgAAAAFAAAAATEBAAAACy0yMDU5NzQxMzczAwAAAAMxNjACAAAABDQxMjEEAAAAATAHAAAACjEyLzMxLzIwMjIIAAAACjEyLzMxLzIwMjIJAAAAATCAyEZf37fbCKjncl/ft9sIM0NJUS5OWVNFOlBXUi5JUV9DVVJSRU5UX1JBVElPLjEwMDAuMTIvMzEvMjAyMi4uLlVTRAEAAADlggAAAgAAAAgxLjYyNTI5NAEIAAAABQAAAAExAQAAAAstMjA1OTc0MTM3MwMAAAADMTYwAgAAAAQ0MDMwBAAAAAEwBwAAAAoxMi8zMS8yMDIy</t>
  </si>
  <si>
    <t>CAAAAAoxMi8zMS8yMDIyCQAAAAEwgMhGX9+32wio53Jf37fbCB9DSVEuTkFTREFROk1ZUkcuSVFfQ09NUEFOWV9OQU1FAQAAAJptBAADAAAADk1ZUiBHcm91cCBJbmMuAKgpyGzft9sIS9klt+O32wg2Q0lRLk5BU0RBUTpNWVJHLklRX0NVUlJFTlRfUkFUSU8uMTAwMC4xMi8zMS8yMDIyLi4uVVNEAQAAAJptBAACAAAACDEuMzM0ODQ5AQgAAAAFAAAAATEBAAAACy0yMDYwMDcwNDgyAwAAAAMxNjACAAAABDQwMzAEAAAAATAHAAAACjEyLzMxLzIwMjIIAAAACjEyLzMxLzIwMjIJAAAAATCoKchs37fbCLFF22zft9sINkNJUS5OQVNEQVE6TVlSRy5JUV9DVVJSRU5UX1JBVElPLjEwMDAuMTIvMzEvMjAyMS4uLlVTRAEAAACabQQAAgAAAAgxLjUwMDk4NQEIAAAABQAAAAExAQAAAAstMjA2MDA3MDQ5MwMAAAADMTYwAgAAAAQ0MDMwBAAAAAEwBwAAAAoxMi8zMS8yMDIxCAAAAAoxMi8zMS8yMDIxCQAAAAEwqCnIbN+32wixRdts37fbCDZDSVEuTkFTREFROk1ZUkcuSVFfQ1VSUkVOVF9SQVRJTy4xMDAwLjEyLzMxLzIwMjAuLi5VU0QBAAAAmm0EAAIAAAAIMS40MzU5MTMBCAAAAAUAAAABMQEAAAALLTIwNjAwNzA0ODYDAAAAAzE2MAIAAAAENDAzMAQAAAABMAcAAAAKMTIvMzEvMjAyMAgAAAAKMTIvMzEvMjAyMAkAAAABMKgpyGzft9sIsUXbbN+32wg2Q0lRLk5BU0RBUTpNWVJHLklRX0NVUlJFTlRfUkFUSU8u</t>
  </si>
  <si>
    <t>MTAwMC4xMi8zMS8yMDE5Li4uVVNEAQAAAJptBAACAAAACDEuNjEwNzg5AQgAAAAFAAAAATEBAAAACy0yMTExMjQzNjg0AwAAAAMxNjACAAAABDQwMzAEAAAAATAHAAAACjEyLzMxLzIwMTkIAAAACjEyLzMxLzIwMTkJAAAAATCoKchs37fbCLFF22zft9sINkNJUS5OQVNEQVE6TVlSRy5JUV9DVVJSRU5UX1JBVElPLjEwMDAuMTIvMzEvMjAxOC4uLlVTRAEAAACabQQAAgAAAAgxLjY3NTkxOAEIAAAABQAAAAExAQAAAAoyMDgyODcwNjMwAwAAAAMxNjACAAAABDQwMzAEAAAAATAHAAAACjEyLzMxLzIwMTgIAAAACjEyLzMxLzIwMTgJAAAAATCoKchs37fbCLFF22zft9sINkNJUS5OQVNEQVE6TVlSRy5JUV9DVVJSRU5UX1JBVElPLjEwMDAuMTIvMzEvMjAxNy4uLlVTRAEAAACabQQAAgAAAAcyLjAxMzgzAQgAAAAFAAAAATEBAAAACjIwMTk1NDcxOTIDAAAAAzE2MAIAAAAENDAzMAQAAAABMAcAAAAKMTIvMzEvMjAxNwgAAAAKMTIvMzEvMjAxNwkAAAABMKgpyGzft9sIsUXbbN+32wg2Q0lRLk5BU0RBUTpNWVJHLklRX0NVUlJFTlRfUkFUSU8uMTAwMC4xMi8zMC8yMDE2Li4uVVNEAQAAAJptBAACAAAACDEuNjg3ODM4AQgAAAAFAAAAATEBAAAACjE4NzczMTYyMDADAAAAAzE2MAIAAAAENDAzMAQAAAABMAcAAAAKMTIvMzAvMjAxNggAAAAKMTIvMzEvMjAxNQkAAAABMKgpyGzft9sIsUXbbN+32wg2Q0lRLk5B</t>
  </si>
  <si>
    <t>U0RBUTpNWVJHLklRX0NVUlJFTlRfUkFUSU8uMTAwMC4xMi8zMS8yMDEzLi4uVVNEAQAAAJptBAACAAAABzEuNTg1MDQBCAAAAAUAAAABMQEAAAAKMTgyODE2ODIzNwMAAAADMTYwAgAAAAQ0MDMwBAAAAAEwBwAAAAoxMi8zMS8yMDEzCAAAAAoxMi8zMS8yMDEzCQAAAAEwqCnIbN+32wixRdts37fbCDZDSVEuTkFTREFROk1ZUkcuSVFfQ1VSUkVOVF9SQVRJTy4xMDAwLjEyLzMxLzIwMTQuLi5VU0QBAAAAmm0EAAIAAAAIMS44MjcwNTYBCAAAAAUAAAABMQEAAAAKMTgzMTMyNzM3NQMAAAADMTYwAgAAAAQ0MDMwBAAAAAEwBwAAAAoxMi8zMS8yMDE0CAAAAAoxMi8zMS8yMDE0CQAAAAEwqCnIbN+32wixRdts37fbCDZDSVEuTkFTREFROk1ZUkcuSVFfQ1VSUkVOVF9SQVRJTy4xMDAwLjEyLzMxLzIwMTUuLi5VU0QBAAAAmm0EAAIAAAAIMS42ODc4MzgBCAAAAAUAAAABMQEAAAAKMTg3NzMxNjIwMAMAAAADMTYwAgAAAAQ0MDMwBAAAAAEwBwAAAAoxMi8zMS8yMDE1CAAAAAoxMi8zMS8yMDE1CQAAAAEwqCnIbN+32wixRdts37fbCDRDSVEuTkFTREFROk1ZUkcuSVFfUVVJQ0tfUkFUSU8uMTAwMC4xMi8zMS8yMDIyLi4uVVNEAQAAAJptBAACAAAACDEuMjYzMTQ0AQgAAAAFAAAAATEBAAAACy0yMDYwMDcwNDgyAwAAAAMxNjACAAAABDQxMjEEAAAAATAHAAAACjEyLzMxLzIwMjIIAAAACjEyLzMxLzIwMjIJAAAA</t>
  </si>
  <si>
    <t>ATC5C0pu37fbCEemXG7ft9sINENJUS5OQVNEQVE6TVlSRy5JUV9RVUlDS19SQVRJTy4xMDAwLjEyLzMxLzIwMjEuLi5VU0QBAAAAmm0EAAIAAAAIMS40MDk2MDEBCAAAAAUAAAABMQEAAAALLTIwNjAwNzA0OTMDAAAAAzE2MAIAAAAENDEyMQQAAAABMAcAAAAKMTIvMzEvMjAyMQgAAAAKMTIvMzEvMjAyMQkAAAABMLkLSm7ft9sIR6Zcbt+32wg0Q0lRLk5BU0RBUTpNWVJHLklRX1FVSUNLX1JBVElPLjEwMDAuMTIvMzEvMjAyMC4uLlVTRAEAAACabQQAAgAAAAgxLjM3MDc3NQEIAAAABQAAAAExAQAAAAstMjA2MDA3MDQ4NgMAAAADMTYwAgAAAAQ0MTIxBAAAAAEwBwAAAAoxMi8zMS8yMDIwCAAAAAoxMi8zMS8yMDIwCQAAAAEwuQtKbt+32whHplxu37fbCDRDSVEuTkFTREFROk1ZUkcuSVFfUVVJQ0tfUkFUSU8uMTAwMC4xMi8zMS8yMDE5Li4uVVNEAQAAAJptBAACAAAACDEuNTc4NTA1AQgAAAAFAAAAATEBAAAACy0yMTExMjQzNjg0AwAAAAMxNjACAAAABDQxMjEEAAAAATAHAAAACjEyLzMxLzIwMTkIAAAACjEyLzMxLzIwMTkJAAAAATC5C0pu37fbCEemXG7ft9sINENJUS5OQVNEQVE6TVlSRy5JUV9RVUlDS19SQVRJTy4xMDAwLjEyLzMxLzIwMTguLi5VU0QBAAAAmm0EAAIAAAAIMS42NDQ3NDUBCAAAAAUAAAABMQEAAAAKMjA4Mjg3MDYzMAMAAAADMTYwAgAAAAQ0MTIxBAAAAAEwBwAAAAoxMi8zMS8y</t>
  </si>
  <si>
    <t>MDE4CAAAAAoxMi8zMS8yMDE4CQAAAAEwuQtKbt+32whHplxu37fbCDRDSVEuTkFTREFROk1ZUkcuSVFfUVVJQ0tfUkFUSU8uMTAwMC4xMi8zMS8yMDE3Li4uVVNEAQAAAJptBAACAAAACDEuOTY4Njg0AQgAAAAFAAAAATEBAAAACjIwMTk1NDcxOTIDAAAAAzE2MAIAAAAENDEyMQQAAAABMAcAAAAKMTIvMzEvMjAxNwgAAAAKMTIvMzEvMjAxNwkAAAABMLkLSm7ft9sIR6Zcbt+32wg0Q0lRLk5BU0RBUTpNWVJHLklRX1FVSUNLX1JBVElPLjEwMDAuMTIvMzAvMjAxNi4uLlVTRAEAAACabQQAAgAAAAgxLjY0MzY1MQEIAAAABQAAAAExAQAAAAoxODc3MzE2MjAwAwAAAAMxNjACAAAABDQxMjEEAAAAATAHAAAACjEyLzMwLzIwMTYIAAAACjEyLzMxLzIwMTUJAAAAATC5C0pu37fbCEemXG7ft9sINENJUS5OQVNEQVE6TVlSRy5JUV9RVUlDS19SQVRJTy4xMDAwLjEyLzMxLzIwMTMuLi5VU0QBAAAAmm0EAAIAAAAIMS40ODMxMDcBCAAAAAUAAAABMQEAAAAKMTgyODE2ODIzNwMAAAADMTYwAgAAAAQ0MTIxBAAAAAEwBwAAAAoxMi8zMS8yMDEzCAAAAAoxMi8zMS8yMDEzCQAAAAEwuQtKbt+32whHplxu37fbCDRDSVEuTkFTREFROk1ZUkcuSVFfUVVJQ0tfUkFUSU8uMTAwMC4xMi8zMS8yMDE1Li4uVVNEAQAAAJptBAACAAAACDEuNjQzNjUxAQgAAAAFAAAAATEBAAAACjE4NzczMTYyMDADAAAAAzE2MAIAAAAENDEy</t>
  </si>
  <si>
    <t>MQQAAAABMAcAAAAKMTIvMzEvMjAxNQgAAAAKMTIvMzEvMjAxNQkAAAABMLkLSm7ft9sIR6Zcbt+32wg0Q0lRLk5BU0RBUTpNWVJHLklRX1FVSUNLX1JBVElPLjEwMDAuMTIvMzEvMjAxNC4uLlVTRAEAAACabQQAAgAAAAgxLjcxNzU3OQEIAAAABQAAAAExAQAAAAoxODMxMzI3Mzc1AwAAAAMxNjACAAAABDQxMjEEAAAAATAHAAAACjEyLzMxLzIwMTQIAAAACjEyLzMxLzIwMTQJAAAAATC5C0pu37fbCEemXG7ft9sIOENJUS5OQVNEQVE6TVlSRy5JUV9ORVRfREVCVF9FQklUREEuMTAwMC4xMi8zMS8yMDIyLi4uVVNEAQAAAJptBAACAAAACDAuMTI3MzkxAQgAAAAFAAAAATEBAAAACy0yMDYwMDcwNDgyAwAAAAMxNjACAAAABDQxOTMEAAAAATAHAAAACjEyLzMxLzIwMjIIAAAACjEyLzMxLzIwMjIJAAAAATBC3eaF37fbCPw3D4bft9sINENJUS5OQVNEQVE6TVlSRy5JUV9UT1RBTF9ERUJUX0VRVUlUWS4xMDAwLjEyLzMxLzIwMjIBAAAAmm0EAAIAAAAHMTMuMzA3NQEIAAAABQAAAAExAQAAAAstMjA2MDA3MDQ4MgMAAAADMTYwAgAAAAQ0MDM0BAAAAAEwBwAAAAoxMi8zMS8yMDIyCAAAAAoxMi8zMS8yMDIyCQAAAAEwQt3mhd+32wh4Xw+G37fbCDVDSVEuTkFTREFROk1ZUkcuSVFfVE9UQUxfREVCVF9DQVBJVEFMLjEwMDAuMTIvMzEvMjAyMgEAAACabQQAAgAAAAcxMS43NDQ2AQgAAAAFAAAAATEBAAAACy0y</t>
  </si>
  <si>
    <t>MDYwMDcwNDgyAwAAAAMxNjACAAAABDQxODYEAAAAATAHAAAACjEyLzMxLzIwMjIIAAAACjEyLzMxLzIwMjIJAAAAATBC3eaF37fbCHhfD4bft9sILkNJUS5OQVNEQVE6TVlSRy5JUV9BU1NFVF9UVVJOUy4xMDAwLjEyLzMxLzIwMjIBAAAAmm0EAAIAAAAIMi4zODc3NzkBCAAAAAUAAAABMQEAAAALLTIwNjAwNzA0ODIDAAAAAzE2MAIAAAAENDE3NwQAAAABMAcAAAAKMTIvMzEvMjAyMggAAAAKMTIvMzEvMjAyMgkAAAABMELd5oXft9sI/DcPht+32wgyQ0lRLk5BU0RBUTpNWVJHLklRX0lOVkVOVE9SWV9UVVJOUy4xMDAwLjEyLzMxLzIwMjIBAAAAmm0EAAMAAAAAAELd5oXft9sI/DcPht+32wgrQ0lRLk5BU0RBUTpNWVJHLklRX0FSX1RVUk5TLjEwMDAuMTIvMzEvMjAyMgEAAACabQQAAgAAAAg0LjM5OTMzNAEIAAAABQAAAAExAQAAAAstMjA2MDA3MDQ4MgMAAAADMTYwAgAAAAQ0MDAxBAAAAAEwBwAAAAoxMi8zMS8yMDIyCAAAAAoxMi8zMS8yMDIyCQAAAAEwQt3mhd+32wj8Nw+G37fbCDRDSVEuTkFTREFROk1ZUkcuSVFfVE9UQUxfREVCVF9FUVVJVFkuMTAwMC4xMi8zMS8yMDIxAQAAAJptBAACAAAABjQuOTExOQEIAAAABQAAAAExAQAAAAstMjA2MDA3MDQ5MwMAAAADMTYwAgAAAAQ0MDM0BAAAAAEwBwAAAAoxMi8zMS8yMDIxCAAAAAoxMi8zMS8yMDIxCQAAAAEwQt3mhd+32wj8Nw+G37fbCDVDSVEu</t>
  </si>
  <si>
    <t>TkFTREFROk1ZUkcuSVFfVE9UQUxfREVCVF9DQVBJVEFMLjEwMDAuMTIvMzEvMjAyMQEAAACabQQAAgAAAAY0LjY4MTkBCAAAAAUAAAABMQEAAAALLTIwNjAwNzA0OTMDAAAAAzE2MAIAAAAENDE4NgQAAAABMAcAAAAKMTIvMzEvMjAyMQgAAAAKMTIvMzEvMjAyMQkAAAABMELd5oXft9sI/DcPht+32wg4Q0lRLk5BU0RBUTpNWVJHLklRX05FVF9ERUJUX0VCSVREQS4xMDAwLjEyLzMxLzIwMjEuLi5VU0QBAAAAmm0EAAMAAAACTk0BCAAAAAUAAAABMQEAAAALLTIwNjAwNzA0OTMDAAAAAzE2MAIAAAAENDE5MwQAAAABMAcAAAAKMTIvMzEvMjAyMQgAAAAKMTIvMzEvMjAyMQkAAAABMELd5oXft9sI/DcPht+32wguQ0lRLk5BU0RBUTpNWVJHLklRX0VCSVRfTUFSR0lOLjEwMDAuMTIvMzEvMjAyMgEAAACabQQAAgAAAAYzLjc0MDMBCAAAAAUAAAABMQEAAAALLTIwNjAwNzA0ODIDAAAAAzE2MAIAAAAENDA1MwQAAAABMAcAAAAKMTIvMzEvMjAyMggAAAAKMTIvMzEvMjAyMgkAAAABMELd5oXft9sIiHubpt+32wg2Q0lRLk5BU0RBUTpNWVJHLklRX0VCSVREQV9NQVJHSU4uMTAwMC4xMi8zMS8yMDIyLi4uVVNEAQAAAJptBAACAAAABjUuNjczOAEIAAAABQAAAAExAQAAAAstMjA2MDA3MDQ4MgMAAAADMTYwAgAAAAQ0MDQ3BAAAAAEwBwAAAAoxMi8zMS8yMDIyCAAAAAoxMi8zMS8yMDIyCQAAAAEwQt3mhd+32wia</t>
  </si>
  <si>
    <t>BZWu37fbCCxDSVEuTkFTREFROk1ZUkcuSVFfTklfTUFSR0lOLjEwMDAuMTIvMzEvMjAyMgEAAACabQQAAgAAAAYyLjc3MTQBCAAAAAUAAAABMQEAAAALLTIwNjAwNzA0ODIDAAAAAzE2MAIAAAAENDA5NAQAAAABMAcAAAAKMTIvMzEvMjAyMggAAAAKMTIvMzEvMjAyMgkAAAABMELd5oXft9sIRMCRoN+32wgwQ0lRLk5BU0RBUTpNWVJHLklRX1JFVFVSTl9BU1NFVFMuMTAwMC4xMi8zMS8yMDIyAQAAAJptBAACAAAABjUuNTgxOQEIAAAABQAAAAExAQAAAAstMjA2MDA3MDQ4MgMAAAADMTYwAgAAAAQ0MTc4BAAAAAEwBwAAAAoxMi8zMS8yMDIyCAAAAAoxMi8zMS8yMDIyCQAAAAEwQt3mhd+32wiaBZWu37fbCDVDSVEuTkFTREFROk1ZUkcuSVFfR1JPU1NfTUFSR0lOLjEwMDAuMTIvMzEvMjAyMi4uLlVTRAEAAACabQQAAgAAAAcxMS40MzI4AQgAAAAFAAAAATEBAAAACy0yMDYwMDcwNDgyAwAAAAMxNjACAAAABDQwNzQEAAAAATAHAAAACjEyLzMxLzIwMjIIAAAACjEyLzMxLzIwMjIJAAAAATBC3eaF37fbCPw3D4bft9sIMENJUS5OQVNEQVE6TVlSRy5JUV9SRVRVUk5fRVFVSVRZLjEwMDAuMTIvMzEvMjAyMgEAAACabQQAAgAAAAcxNS40NTA5AQgAAAAFAAAAATEBAAAACy0yMDYwMDcwNDgyAwAAAAMxNjACAAAABDQxMjgEAAAAATAHAAAACjEyLzMxLzIwMjIIAAAACjEyLzMxLzIwMjIJAAAAATBC3eaF37fb</t>
  </si>
  <si>
    <t>CEvZJbfjt9sIOENJUS5OQVNEQVE6TVlSRy5JUV9ORVRfREVCVF9FQklUREEuMTAwMC4xMi8zMS8yMDIwLi4uVVNEAQAAAJptBAACAAAACDAuMjEwMjM4AQgAAAAFAAAAATEBAAAACy0yMDYwMDcwNDg2AwAAAAMxNjACAAAABDQxOTMEAAAAATAHAAAACjEyLzMxLzIwMjAIAAAACjEyLzMxLzIwMjAJAAAAATBC3eaF37fbCPw3D4bft9sILkNJUS5OQVNEQVE6TVlSRy5JUV9BU1NFVF9UVVJOUy4xMDAwLjEyLzMxLzIwMjEBAAAAmm0EAAIAAAAHMi4zNjAyNwEIAAAABQAAAAExAQAAAAstMjA2MDA3MDQ5MwMAAAADMTYwAgAAAAQ0MTc3BAAAAAEwBwAAAAoxMi8zMS8yMDIxCAAAAAoxMi8zMS8yMDIxCQAAAAEwQt3mhd+32wj8Nw+G37fbCCtDSVEuTkFTREFROk1ZUkcuSVFfQVJfVFVSTlMuMTAwMC4xMi8zMS8yMDIxAQAAAJptBAACAAAACDQuMjkzODM1AQgAAAAFAAAAATEBAAAACy0yMDYwMDcwNDkzAwAAAAMxNjACAAAABDQwMDEEAAAAATAHAAAACjEyLzMxLzIwMjEIAAAACjEyLzMxLzIwMjEJAAAAATBC3eaF37fbCPw3D4bft9sIMkNJUS5OQVNEQVE6TVlSRy5JUV9JTlZFTlRPUllfVFVSTlMuMTAwMC4xMi8zMS8yMDIxAQAAAJptBAADAAAAAABC3eaF37fbCPw3D4bft9sINENJUS5OQVNEQVE6TVlSRy5JUV9UT1RBTF9ERUJUX0VRVUlUWS4xMDAwLjEyLzMxLzIwMjABAAAAmm0EAAIAAAAHMTIuMTMxNgEI</t>
  </si>
  <si>
    <t>AAAABQAAAAExAQAAAAstMjA2MDA3MDQ4NgMAAAADMTYwAgAAAAQ0MDM0BAAAAAEwBwAAAAoxMi8zMS8yMDIwCAAAAAoxMi8zMS8yMDIwCQAAAAEwQt3mhd+32wj8Nw+G37fbCDVDSVEuTkFTREFROk1ZUkcuSVFfVE9UQUxfREVCVF9DQVBJVEFMLjEwMDAuMTIvMzEvMjAyMAEAAACabQQAAgAAAAYxMC44MTkBCAAAAAUAAAABMQEAAAALLTIwNjAwNzA0ODYDAAAAAzE2MAIAAAAENDE4NgQAAAABMAcAAAAKMTIvMzEvMjAyMAgAAAAKMTIvMzEvMjAyMAkAAAABMELd5oXft9sI/DcPht+32wguQ0lRLk5BU0RBUTpNWVJHLklRX0VCSVRfTUFSR0lOLjEwMDAuMTIvMzEvMjAyMQEAAACabQQAAgAAAAY0LjYyMTYBCAAAAAUAAAABMQEAAAALLTIwNjAwNzA0OTMDAAAAAzE2MAIAAAAENDA1MwQAAAABMAcAAAAKMTIvMzEvMjAyMQgAAAAKMTIvMzEvMjAyMQkAAAABMELd5oXft9sIiHubpt+32wgwQ0lRLk5BU0RBUTpNWVJHLklRX1JFVFVSTl9BU1NFVFMuMTAwMC4xMi8zMS8yMDIxAQAAAJptBAACAAAABjYuODE3NwEIAAAABQAAAAExAQAAAAstMjA2MDA3MDQ5MwMAAAADMTYwAgAAAAQ0MTc4BAAAAAEwBwAAAAoxMi8zMS8yMDIxCAAAAAoxMi8zMS8yMDIxCQAAAAEwQt3mhd+32wiaBZWu37fbCDBDSVEuTkFTREFROk1ZUkcuSVFfUkVUVVJOX0VRVUlUWS4xMDAwLjEyLzMxLzIwMjEBAAAAmm0EAAIAAAAHMTcuOTI2</t>
  </si>
  <si>
    <t>MwEIAAAABQAAAAExAQAAAAstMjA2MDA3MDQ5MwMAAAADMTYwAgAAAAQ0MTI4BAAAAAEwBwAAAAoxMi8zMS8yMDIxCAAAAAoxMi8zMS8yMDIxCQAAAAEwQt3mhd+32whL2SW347fbCCxDSVEuTkFTREFROk1ZUkcuSVFfTklfTUFSR0lOLjEwMDAuMTIvMzEvMjAyMQEAAACabQQAAgAAAAYzLjQwMjcBCAAAAAUAAAABMQEAAAALLTIwNjAwNzA0OTMDAAAAAzE2MAIAAAAENDA5NAQAAAABMAcAAAAKMTIvMzEvMjAyMQgAAAAKMTIvMzEvMjAyMQkAAAABMELd5oXft9sIRMCRoN+32wg2Q0lRLk5BU0RBUTpNWVJHLklRX0VCSVREQV9NQVJHSU4uMTAwMC4xMi8zMS8yMDIxLi4uVVNEAQAAAJptBAACAAAABjYuNDcxMQEIAAAABQAAAAExAQAAAAstMjA2MDA3MDQ5MwMAAAADMTYwAgAAAAQ0MDQ3BAAAAAEwBwAAAAoxMi8zMS8yMDIxCAAAAAoxMi8zMS8yMDIxCQAAAAEwQt3mhd+32wiaBZWu37fbCDVDSVEuTkFTREFROk1ZUkcuSVFfR1JPU1NfTUFSR0lOLjEwMDAuMTIvMzEvMjAyMS4uLlVTRAEAAACabQQAAgAAAAcxMy4wMDgxAQgAAAAFAAAAATEBAAAACy0yMDYwMDcwNDkzAwAAAAMxNjACAAAABDQwNzQEAAAAATAHAAAACjEyLzMxLzIwMjEIAAAACjEyLzMxLzIwMjEJAAAAATBC3eaF37fbCPw3D4bft9sIK0NJUS5OQVNEQVE6TVlSRy5JUV9BUl9UVVJOUy4xMDAwLjEyLzMxLzIwMjABAAAAmm0EAAIAAAAIMy44</t>
  </si>
  <si>
    <t>NTU4OTMBCAAAAAUAAAABMQEAAAALLTIwNjAwNzA0ODYDAAAAAzE2MAIAAAAENDAwMQQAAAABMAcAAAAKMTIvMzEvMjAyMAgAAAAKMTIvMzEvMjAyMAkAAAABMELd5oXft9sIDhEPht+32wguQ0lRLk5BU0RBUTpNWVJHLklRX0FTU0VUX1RVUk5TLjEwMDAuMTIvMzEvMjAyMAEAAACabQQAAgAAAAgyLjI0MzIwOAEIAAAABQAAAAExAQAAAAstMjA2MDA3MDQ4NgMAAAADMTYwAgAAAAQ0MTc3BAAAAAEwBwAAAAoxMi8zMS8yMDIwCAAAAAoxMi8zMS8yMDIwCQAAAAEwQt3mhd+32wgOEQ+G37fbCDhDSVEuTkFTREFROk1ZUkcuSVFfTkVUX0RFQlRfRUJJVERBLjEwMDAuMTIvMzEvMjAxOS4uLlVTRAEAAACabQQAAgAAAAgxLjY4MzUwOQEIAAAABQAAAAExAQAAAAstMjExMTI0MzY4NAMAAAADMTYwAgAAAAQ0MTkzBAAAAAEwBwAAAAoxMi8zMS8yMDE5CAAAAAoxMi8zMS8yMDE5CQAAAAEwQt3mhd+32wgOEQ+G37fbCDVDSVEuTkFTREFROk1ZUkcuSVFfVE9UQUxfREVCVF9DQVBJVEFMLjEwMDAuMTIvMzEvMjAxOQEAAACabQQAAgAAAAczNC4zMTIzAQgAAAAFAAAAATEBAAAACy0yMTExMjQzNjg0AwAAAAMxNjACAAAABDQxODYEAAAAATAHAAAACjEyLzMxLzIwMTkIAAAACjEyLzMxLzIwMTkJAAAAATBC3eaF37fbCA4RD4bft9sIMkNJUS5OQVNEQVE6TVlSRy5JUV9JTlZFTlRPUllfVFVSTlMuMTAwMC4xMi8zMS8y</t>
  </si>
  <si>
    <t>MDIwAQAAAJptBAADAAAAAABC3eaF37fbCA4RD4bft9sINENJUS5OQVNEQVE6TVlSRy5JUV9UT1RBTF9ERUJUX0VRVUlUWS4xMDAwLjEyLzMxLzIwMTkBAAAAmm0EAAIAAAAHNTIuMjM1NgEIAAAABQAAAAExAQAAAAstMjExMTI0MzY4NAMAAAADMTYwAgAAAAQ0MDM0BAAAAAEwBwAAAAoxMi8zMS8yMDE5CAAAAAoxMi8zMS8yMDE5CQAAAAEwQt3mhd+32wgOEQ+G37fbCDVDSVEuTkFTREFROk1ZUkcuSVFfR1JPU1NfTUFSR0lOLjEwMDAuMTIvMzEvMjAyMC4uLlVTRAEAAACabQQAAgAAAAcxMi4yNzQzAQgAAAAFAAAAATEBAAAACy0yMDYwMDcwNDg2AwAAAAMxNjACAAAABDQwNzQEAAAAATAHAAAACjEyLzMxLzIwMjAIAAAACjEyLzMxLzIwMjAJAAAAATBC3eaF37fbCA4RD4bft9sILENJUS5OQVNEQVE6TVlSRy5JUV9OSV9NQVJHSU4uMTAwMC4xMi8zMS8yMDIwAQAAAJptBAACAAAABjIuNjE0NQEIAAAABQAAAAExAQAAAAstMjA2MDA3MDQ4NgMAAAADMTYwAgAAAAQ0MDk0BAAAAAEwBwAAAAoxMi8zMS8yMDIwCAAAAAoxMi8zMS8yMDIwCQAAAAEwQt3mhd+32whEwJGg37fbCC5DSVEuTkFTREFROk1ZUkcuSVFfRUJJVF9NQVJHSU4uMTAwMC4xMi8zMS8yMDIwAQAAAJptBAACAAAABjMuNzI1NwEIAAAABQAAAAExAQAAAAstMjA2MDA3MDQ4NgMAAAADMTYwAgAAAAQ0MDUzBAAAAAEwBwAAAAoxMi8zMS8yMDIw</t>
  </si>
  <si>
    <t>CAAAAAoxMi8zMS8yMDIwCQAAAAEwQt3mhd+32wiIe5um37fbCDBDSVEuTkFTREFROk1ZUkcuSVFfUkVUVVJOX0FTU0VUUy4xMDAwLjEyLzMxLzIwMjABAAAAmm0EAAIAAAAGNS4yMjM1AQgAAAAFAAAAATEBAAAACy0yMDYwMDcwNDg2AwAAAAMxNjACAAAABDQxNzgEAAAAATAHAAAACjEyLzMxLzIwMjAIAAAACjEyLzMxLzIwMjAJAAAAATBC3eaF37fbCJoFla7ft9sINkNJUS5OQVNEQVE6TVlSRy5JUV9FQklUREFfTUFSR0lOLjEwMDAuMTIvMzEvMjAyMC4uLlVTRAEAAACabQQAAgAAAAY1Ljc5MjcBCAAAAAUAAAABMQEAAAALLTIwNjAwNzA0ODYDAAAAAzE2MAIAAAAENDA0NwQAAAABMAcAAAAKMTIvMzEvMjAyMAgAAAAKMTIvMzEvMjAyMAkAAAABMELd5oXft9sImgWVrt+32wgwQ0lRLk5BU0RBUTpNWVJHLklRX1JFVFVSTl9FUVVJVFkuMTAwMC4xMi8zMS8yMDIwAQAAAJptBAACAAAABzE0LjgwNTEBCAAAAAUAAAABMQEAAAALLTIwNjAwNzA0ODYDAAAAAzE2MAIAAAAENDEyOAQAAAABMAcAAAAKMTIvMzEvMjAyMAgAAAAKMTIvMzEvMjAyMAkAAAABMELd5oXft9sIS9klt+O32wguQ0lRLk5BU0RBUTpNWVJHLklRX0FTU0VUX1RVUk5TLjEwMDAuMTIvMzEvMjAxOQEAAACabQQAAgAAAAcyLjM1ODExAQgAAAAFAAAAATEBAAAACy0yMTExMjQzNjg0AwAAAAMxNjACAAAABDQxNzcEAAAAATAHAAAACjEyLzMx</t>
  </si>
  <si>
    <t>LzIwMTkIAAAACjEyLzMxLzIwMTkJAAAAATBC3eaF37fbCA4RD4bft9sIK0NJUS5OQVNEQVE6TVlSRy5JUV9BUl9UVVJOUy4xMDAwLjEyLzMxLzIwMTkBAAAAmm0EAAIAAAAIMy45ODAyMzQBCAAAAAUAAAABMQEAAAALLTIxMTEyNDM2ODQDAAAAAzE2MAIAAAAENDAwMQQAAAABMAcAAAAKMTIvMzEvMjAxOQgAAAAKMTIvMzEvMjAxOQkAAAABMELd5oXft9sIDhEPht+32wgyQ0lRLk5BU0RBUTpNWVJHLklRX0lOVkVOVE9SWV9UVVJOUy4xMDAwLjEyLzMxLzIwMTkBAAAAmm0EAAMAAAAAAELd5oXft9sIDhEPht+32wg0Q0lRLk5BU0RBUTpNWVJHLklRX1RPVEFMX0RFQlRfRVFVSVRZLjEwMDAuMTIvMzEvMjAxOAEAAACabQQAAgAAAAcyOC40ODU0AQgAAAAFAAAAATEBAAAACjIwODI4NzA2MzADAAAAAzE2MAIAAAAENDAzNAQAAAABMAcAAAAKMTIvMzEvMjAxOAgAAAAKMTIvMzEvMjAxOAkAAAABMELd5oXft9sIDhEPht+32wg1Q0lRLk5BU0RBUTpNWVJHLklRX1RPVEFMX0RFQlRfQ0FQSVRBTC4xMDAwLjEyLzMxLzIwMTgBAAAAmm0EAAIAAAAHMjIuMTcwMQEIAAAABQAAAAExAQAAAAoyMDgyODcwNjMwAwAAAAMxNjACAAAABDQxODYEAAAAATAHAAAACjEyLzMxLzIwMTgIAAAACjEyLzMxLzIwMTgJAAAAATBC3eaF37fbCA4RD4bft9sIOENJUS5OQVNEQVE6TVlSRy5JUV9ORVRfREVCVF9FQklUREEuMTAwMC4x</t>
  </si>
  <si>
    <t>Mi8zMS8yMDE4Li4uVVNEAQAAAJptBAACAAAACDAuOTgyOTI2AQgAAAAFAAAAATEBAAAACjIwODI4NzA2MzADAAAAAzE2MAIAAAAENDE5MwQAAAABMAcAAAAKMTIvMzEvMjAxOAgAAAAKMTIvMzEvMjAxOAkAAAABMELd5oXft9sIDhEPht+32wgwQ0lRLk5BU0RBUTpNWVJHLklRX1JFVFVSTl9BU1NFVFMuMTAwMC4xMi8zMS8yMDE5AQAAAJptBAACAAAABjMuODE2NgEIAAAABQAAAAExAQAAAAstMjExMTI0MzY4NAMAAAADMTYwAgAAAAQ0MTc4BAAAAAEwBwAAAAoxMi8zMS8yMDE5CAAAAAoxMi8zMS8yMDE5CQAAAAEwQt3mhd+32wiaBZWu37fbCCxDSVEuTkFTREFROk1ZUkcuSVFfTklfTUFSR0lOLjEwMDAuMTIvMzEvMjAxOQEAAACabQQAAgAAAAYxLjgxOTcBCAAAAAUAAAABMQEAAAALLTIxMTEyNDM2ODQDAAAAAzE2MAIAAAAENDA5NAQAAAABMAcAAAAKMTIvMzEvMjAxOQgAAAAKMTIvMzEvMjAxOQkAAAABMELd5oXft9sIRMCRoN+32wg2Q0lRLk5BU0RBUTpNWVJHLklRX0VCSVREQV9NQVJHSU4uMTAwMC4xMi8zMS8yMDE5Li4uVVNEAQAAAJptBAACAAAABjQuNzM4OQEIAAAABQAAAAExAQAAAAstMjExMTI0MzY4NAMAAAADMTYwAgAAAAQ0MDQ3BAAAAAEwBwAAAAoxMi8zMS8yMDE5CAAAAAoxMi8zMS8yMDE5CQAAAAEwQt3mhd+32wiaBZWu37fbCC5DSVEuTkFTREFROk1ZUkcuSVFfRUJJVF9NQVJHSU4u</t>
  </si>
  <si>
    <t>MTAwMC4xMi8zMS8yMDE5AQAAAJptBAACAAAABjIuNTg5NgEIAAAABQAAAAExAQAAAAstMjExMTI0MzY4NAMAAAADMTYwAgAAAAQ0MDUzBAAAAAEwBwAAAAoxMi8zMS8yMDE5CAAAAAoxMi8zMS8yMDE5CQAAAAEwQt3mhd+32wiIe5um37fbCDBDSVEuTkFTREFROk1ZUkcuSVFfUkVUVVJOX0VRVUlUWS4xMDAwLjEyLzMxLzIwMTkBAAAAmm0EAAIAAAAHMTAuNTEyOQEIAAAABQAAAAExAQAAAAstMjExMTI0MzY4NAMAAAADMTYwAgAAAAQ0MTI4BAAAAAEwBwAAAAoxMi8zMS8yMDE5CAAAAAoxMi8zMS8yMDE5CQAAAAEwQt3mhd+32whL2SW347fbCDVDSVEuTkFTREFROk1ZUkcuSVFfR1JPU1NfTUFSR0lOLjEwMDAuMTIvMzEvMjAxOS4uLlVTRAEAAACabQQAAgAAAAUxMC4zNAEIAAAABQAAAAExAQAAAAstMjExMTI0MzY4NAMAAAADMTYwAgAAAAQ0MDc0BAAAAAEwBwAAAAoxMi8zMS8yMDE5CAAAAAoxMi8zMS8yMDE5CQAAAAEwQt3mhd+32wgOEQ+G37fbCC5DSVEuTkFTREFROk1ZUkcuSVFfQVNTRVRfVFVSTlMuMTAwMC4xMi8zMS8yMDE4AQAAAJptBAACAAAACDIuMjY0MTMzAQgAAAAFAAAAATEBAAAACjIwODI4NzA2MzADAAAAAzE2MAIAAAAENDE3NwQAAAABMAcAAAAKMTIvMzEvMjAxOAgAAAAKMTIvMzEvMjAxOAkAAAABMELd5oXft9sI++kOht+32wgyQ0lRLk5BU0RBUTpNWVJHLklRX0lOVkVOVE9SWV9U</t>
  </si>
  <si>
    <t>VVJOUy4xMDAwLjEyLzMxLzIwMTgBAAAAmm0EAAMAAAAAAELd5oXft9sI++kOht+32wgrQ0lRLk5BU0RBUTpNWVJHLklRX0FSX1RVUk5TLjEwMDAuMTIvMzEvMjAxOAEAAACabQQAAgAAAAgzLjg1OTYyOQEIAAAABQAAAAExAQAAAAoyMDgyODcwNjMwAwAAAAMxNjACAAAABDQwMDEEAAAAATAHAAAACjEyLzMxLzIwMTgIAAAACjEyLzMxLzIwMTgJAAAAATBC3eaF37fbCPvpDobft9sIOENJUS5OQVNEQVE6TVlSRy5JUV9ORVRfREVCVF9FQklUREEuMTAwMC4xMi8zMS8yMDE3Li4uVVNEAQAAAJptBAACAAAACDEuMTk5NTAzAQgAAAAFAAAAATEBAAAACjIwMTk1NDcxOTIDAAAAAzE2MAIAAAAENDE5MwQAAAABMAcAAAAKMTIvMzEvMjAxNwgAAAAKMTIvMzEvMjAxNwkAAAABMELd5oXft9sI++kOht+32wg1Q0lRLk5BU0RBUTpNWVJHLklRX1RPVEFMX0RFQlRfQ0FQSVRBTC4xMDAwLjEyLzMxLzIwMTcBAAAAmm0EAAIAAAAHMjIuMzYxOAEIAAAABQAAAAExAQAAAAoyMDE5NTQ3MTkyAwAAAAMxNjACAAAABDQxODYEAAAAATAHAAAACjEyLzMxLzIwMTcIAAAACjEyLzMxLzIwMTcJAAAAATBC3eaF37fbCPvpDobft9sINENJUS5OQVNEQVE6TVlSRy5JUV9UT1RBTF9ERUJUX0VRVUlUWS4xMDAwLjEyLzMxLzIwMTcBAAAAmm0EAAIAAAAHMjguODAyNwEIAAAABQAAAAExAQAAAAoyMDE5NTQ3MTkyAwAAAAMxNjACAAAA</t>
  </si>
  <si>
    <t>BDQwMzQEAAAAATAHAAAACjEyLzMxLzIwMTcIAAAACjEyLzMxLzIwMTcJAAAAATBC3eaF37fbCPvpDobft9sINUNJUS5OQVNEQVE6TVlSRy5JUV9HUk9TU19NQVJHSU4uMTAwMC4xMi8zMS8yMDE4Li4uVVNEAQAAAJptBAACAAAABzEwLjkxMDYBCAAAAAUAAAABMQEAAAAKMjA4Mjg3MDYzMAMAAAADMTYwAgAAAAQ0MDc0BAAAAAEwBwAAAAoxMi8zMS8yMDE4CAAAAAoxMi8zMS8yMDE4CQAAAAEwQt3mhd+32wj76Q6G37fbCCxDSVEuTkFTREFROk1ZUkcuSVFfTklfTUFSR0lOLjEwMDAuMTIvMzEvMjAxOAEAAACabQQAAgAAAAYyLjAzMDIBCAAAAAUAAAABMQEAAAAKMjA4Mjg3MDYzMAMAAAADMTYwAgAAAAQ0MDk0BAAAAAEwBwAAAAoxMi8zMS8yMDE4CAAAAAoxMi8zMS8yMDE4CQAAAAEwQt3mhd+32whEwJGg37fbCC5DSVEuTkFTREFROk1ZUkcuSVFfRUJJVF9NQVJHSU4uMTAwMC4xMi8zMS8yMDE4AQAAAJptBAACAAAABjMuMDM1NQEIAAAABQAAAAExAQAAAAoyMDgyODcwNjMwAwAAAAMxNjACAAAABDQwNTMEAAAAATAHAAAACjEyLzMxLzIwMTgIAAAACjEyLzMxLzIwMTgJAAAAATBC3eaF37fbCIh7m6bft9sIMENJUS5OQVNEQVE6TVlSRy5JUV9SRVRVUk5fQVNTRVRTLjEwMDAuMTIvMzEvMjAxOAEAAACabQQAAgAAAAY0LjI5NTYBCAAAAAUAAAABMQEAAAAKMjA4Mjg3MDYzMAMAAAADMTYwAgAAAAQ0MTc4</t>
  </si>
  <si>
    <t>BAAAAAEwBwAAAAoxMi8zMS8yMDE4CAAAAAoxMi8zMS8yMDE4CQAAAAEwQt3mhd+32wiaBZWu37fbCDZDSVEuTkFTREFROk1ZUkcuSVFfRUJJVERBX01BUkdJTi4xMDAwLjEyLzMxLzIwMTguLi5VU0QBAAAAmm0EAAIAAAAGNS42NDIyAQgAAAAFAAAAATEBAAAACjIwODI4NzA2MzADAAAAAzE2MAIAAAAENDA0NwQAAAABMAcAAAAKMTIvMzEvMjAxOAgAAAAKMTIvMzEvMjAxOAkAAAABMELd5oXft9sImgWVrt+32wgwQ0lRLk5BU0RBUTpNWVJHLklRX1JFVFVSTl9FUVVJVFkuMTAwMC4xMi8zMS8yMDE4AQAAAJptBAACAAAABzEwLjIzNTEBCAAAAAUAAAABMQEAAAAKMjA4Mjg3MDYzMAMAAAADMTYwAgAAAAQ0MTI4BAAAAAEwBwAAAAoxMi8zMS8yMDE4CAAAAAoxMi8zMS8yMDE4CQAAAAEwQt3mhd+32whL2SW347fbCDVDSVEuTkFTREFROk1ZUkcuSVFfVE9UQUxfREVCVF9DQVBJVEFMLjEwMDAuMTIvMzAvMjAxNgEAAACabQQAAwAAAAAAQt3mhd+32wj76Q6G37fbCDRDSVEuTkFTREFROk1ZUkcuSVFfVE9UQUxfREVCVF9FUVVJVFkuMTAwMC4xMi8zMC8yMDE2AQAAAJptBAADAAAAAABC3eaF37fbCPvpDobft9sIOENJUS5OQVNEQVE6TVlSRy5JUV9ORVRfREVCVF9FQklUREEuMTAwMC4xMi8zMC8yMDE2Li4uVVNEAQAAAJptBAADAAAAAk5NAQgAAAAFAAAAATEBAAAACjE4NzczMTYyMDADAAAAAzE2MAIAAAAE</t>
  </si>
  <si>
    <t>NDE5MwQAAAABMAcAAAAKMTIvMzAvMjAxNggAAAAKMTIvMzEvMjAxNQkAAAABMELd5oXft9sI++kOht+32wgrQ0lRLk5BU0RBUTpNWVJHLklRX0FSX1RVUk5TLjEwMDAuMTIvMzEvMjAxNwEAAACabQQAAgAAAAg0LjI4NTM4OAEIAAAABQAAAAExAQAAAAoyMDE5NTQ3MTkyAwAAAAMxNjACAAAABDQwMDEEAAAAATAHAAAACjEyLzMxLzIwMTcIAAAACjEyLzMxLzIwMTcJAAAAATBC3eaF37fbCPvpDobft9sIMkNJUS5OQVNEQVE6TVlSRy5JUV9JTlZFTlRPUllfVFVSTlMuMTAwMC4xMi8zMS8yMDE3AQAAAJptBAADAAAAAABC3eaF37fbCPvpDobft9sILkNJUS5OQVNEQVE6TVlSRy5JUV9BU1NFVF9UVVJOUy4xMDAwLjEyLzMxLzIwMTcBAAAAmm0EAAIAAAAIMi4zODM5OTIBCAAAAAUAAAABMQEAAAAKMjAxOTU0NzE5MgMAAAADMTYwAgAAAAQ0MTc3BAAAAAEwBwAAAAoxMi8zMS8yMDE3CAAAAAoxMi8zMS8yMDE3CQAAAAEwQt3mhd+32wj76Q6G37fbCClDSVEuTkFTREFROk1ZUkcuSVFfRUJJVERBX0lOVC4xMDAwLi4uLlVTRAEAAACabQQAAgAAAAk1MS43OTM5OTMBCAAAAAUAAAABMQEAAAALLTIwNjAwNzA0ODIDAAAAAzE2MAIAAAAENDE5MAQAAAABMAcAAAAJOS8xOC8yMDIzCAAAAAoxMi8zMS8yMDIyCQAAAAEwQt3mhd+32wj76Q6G37fbCCRDSVEuTkFTREFROk1ZUkcuSVFfVE9UQUxfREVCVF9FQklUREEB</t>
  </si>
  <si>
    <t>AAAAmm0EAAIAAAAIMC40MDAwNTEBCAAAAAUAAAABMQEAAAALLTIwMzcwOTk1NTIDAAAAAzE2MAIAAAAENDE5MgQAAAABMAcAAAAJOS8xOC8yMDIzCAAAAAk2LzMwLzIwMjMJAAAAATBC3eaF37fbCPvpDobft9sINUNJUS5OQVNEQVE6TVlSRy5JUV9UT1RBTF9ERUJUX0NBUElUQUwuMTAwMC4xMi8zMS8yMDE1AQAAAJptBAADAAAAAABC3eaF37fbCPvpDobft9sINUNJUS5OQVNEQVE6TVlSRy5JUV9UT1RBTF9ERUJUX0NBUElUQUwuMTAwMC4xMi8zMS8yMDE0AQAAAJptBAADAAAAAABC3eaF37fbCL3CDobft9sINUNJUS5OQVNEQVE6TVlSRy5JUV9UT1RBTF9ERUJUX0NBUElUQUwuMTAwMC4xMi8zMS8yMDEzAQAAAJptBAADAAAAAABC3eaF37fbCPvpDobft9sINENJUS5OQVNEQVE6TVlSRy5JUV9UT1RBTF9ERUJUX0VRVUlUWS4xMDAwLjEyLzMxLzIwMTUBAAAAmm0EAAMAAAAAAELd5oXft9sI++kOht+32wg0Q0lRLk5BU0RBUTpNWVJHLklRX1RPVEFMX0RFQlRfRVFVSVRZLjEwMDAuMTIvMzEvMjAxNAEAAACabQQAAwAAAAAAQt3mhd+32wj76Q6G37fbCDRDSVEuTkFTREFROk1ZUkcuSVFfVE9UQUxfREVCVF9FUVVJVFkuMTAwMC4xMi8zMS8yMDEzAQAAAJptBAADAAAAAABC3eaF37fbCL3CDobft9sIOENJUS5OQVNEQVE6TVlSRy5JUV9ORVRfREVCVF9FQklUREEuMTAwMC4xMi8zMS8yMDE1Li4uVVNEAQAA</t>
  </si>
  <si>
    <t>AJptBAADAAAAAk5NAQgAAAAFAAAAATEBAAAACjE4NzczMTYyMDADAAAAAzE2MAIAAAAENDE5MwQAAAABMAcAAAAKMTIvMzEvMjAxNQgAAAAKMTIvMzEvMjAxNQkAAAABMELd5oXft9sIvcIOht+32wg4Q0lRLk5BU0RBUTpNWVJHLklRX05FVF9ERUJUX0VCSVREQS4xMDAwLjEyLzMxLzIwMTMuLi5VU0QBAAAAmm0EAAMAAAACTk0BCAAAAAUAAAABMQEAAAAKMTgyODE2ODIzNwMAAAADMTYwAgAAAAQ0MTkzBAAAAAEwBwAAAAoxMi8zMS8yMDEzCAAAAAoxMi8zMS8yMDEzCQAAAAEwQt3mhd+32wi9wg6G37fbCDhDSVEuTkFTREFROk1ZUkcuSVFfTkVUX0RFQlRfRUJJVERBLjEwMDAuMTIvMzEvMjAxNC4uLlVTRAEAAACabQQAAwAAAAJOTQEIAAAABQAAAAExAQAAAAoxODMxMzI3Mzc1AwAAAAMxNjACAAAABDQxOTMEAAAAATAHAAAACjEyLzMxLzIwMTQIAAAACjEyLzMxLzIwMTQJAAAAATBC3eaF37fbCL3CDobft9sIMENJUS5OQVNEQVE6TVlSRy5JUV9SRVRVUk5fRVFVSVRZLjEwMDAuMTIvMzEvMjAxNwEAAACabQQAAgAAAAY3LjY4OTMBCAAAAAUAAAABMQEAAAAKMjAxOTU0NzE5MgMAAAADMTYwAgAAAAQ0MTI4BAAAAAEwBwAAAAoxMi8zMS8yMDE3CAAAAAoxMi8zMS8yMDE3CQAAAAEwQt3mhd+32whL2SW347fbCDBDSVEuTkFTREFROk1ZUkcuSVFfUkVUVVJOX0FTU0VUUy4xMDAwLjEyLzMxLzIwMTcBAAAA</t>
  </si>
  <si>
    <t>mm0EAAIAAAAGMi43NDkzAQgAAAAFAAAAATEBAAAACjIwMTk1NDcxOTIDAAAAAzE2MAIAAAAENDE3OAQAAAABMAcAAAAKMTIvMzEvMjAxNwgAAAAKMTIvMzEvMjAxNwkAAAABMELd5oXft9sImgWVrt+32wguQ0lRLk5BU0RBUTpNWVJHLklRX0VCSVRfTUFSR0lOLjEwMDAuMTIvMzEvMjAxNwEAAACabQQAAgAAAAYxLjg0NTEBCAAAAAUAAAABMQEAAAAKMjAxOTU0NzE5MgMAAAADMTYwAgAAAAQ0MDUzBAAAAAEwBwAAAAoxMi8zMS8yMDE3CAAAAAoxMi8zMS8yMDE3CQAAAAEwQt3mhd+32wiIe5um37fbCDZDSVEuTkFTREFROk1ZUkcuSVFfRUJJVERBX01BUkdJTi4xMDAwLjEyLzMxLzIwMTcuLi5VU0QBAAAAmm0EAAIAAAAGNC41OTQxAQgAAAAFAAAAATEBAAAACjIwMTk1NDcxOTIDAAAAAzE2MAIAAAAENDA0NwQAAAABMAcAAAAKMTIvMzEvMjAxNwgAAAAKMTIvMzEvMjAxNwkAAAABMELd5oXft9sImgWVrt+32wg1Q0lRLk5BU0RBUTpNWVJHLklRX0dST1NTX01BUkdJTi4xMDAwLjEyLzMxLzIwMTcuLi5VU0QBAAAAmm0EAAIAAAAGOC45MDc3AQgAAAAFAAAAATEBAAAACjIwMTk1NDcxOTIDAAAAAzE2MAIAAAAENDA3NAQAAAABMAcAAAAKMTIvMzEvMjAxNwgAAAAKMTIvMzEvMjAxNwkAAAABMELd5oXft9sI2ZsOht+32wgsQ0lRLk5BU0RBUTpNWVJHLklRX05JX01BUkdJTi4xMDAwLjEyLzMxLzIwMTcBAAAA</t>
  </si>
  <si>
    <t>mm0EAAIAAAAGMS41MDc0AQgAAAAFAAAAATEBAAAACjIwMTk1NDcxOTIDAAAAAzE2MAIAAAAENDA5NAQAAAABMAcAAAAKMTIvMzEvMjAxNwgAAAAKMTIvMzEvMjAxNwkAAAABMELd5oXft9sIRMCRoN+32wguQ0lRLk5BU0RBUTpNWVJHLklRX0FTU0VUX1RVUk5TLjEwMDAuMTIvMzAvMjAxNgEAAACabQQAAgAAAAgyLjAzMTkwMwEIAAAABQAAAAExAQAAAAoxODc3MzE2MjAwAwAAAAMxNjACAAAABDQxNzcEAAAAATAHAAAACjEyLzMwLzIwMTYIAAAACjEyLzMxLzIwMTUJAAAAATBC3eaF37fbCNmbDobft9sIK0NJUS5OQVNEQVE6TVlSRy5JUV9BUl9UVVJOUy4xMDAwLjEyLzMwLzIwMTYBAAAAmm0EAAIAAAAINC44MjA1NDIBCAAAAAUAAAABMQEAAAAKMTg3NzMxNjIwMAMAAAADMTYwAgAAAAQ0MDAxBAAAAAEwBwAAAAoxMi8zMC8yMDE2CAAAAAoxMi8zMS8yMDE1CQAAAAEwQt3mhd+32wjZmw6G37fbCDJDSVEuTkFTREFROk1ZUkcuSVFfSU5WRU5UT1JZX1RVUk5TLjEwMDAuMTIvMzEvMjAxNAEAAACabQQAAwAAAAAAQt3mhd+32wjZmw6G37fbCDJDSVEuTkFTREFROk1ZUkcuSVFfSU5WRU5UT1JZX1RVUk5TLjEwMDAuMTIvMzEvMjAxNQEAAACabQQAAwAAAAAAQt3mhd+32wjZmw6G37fbCDJDSVEuTkFTREFROk1ZUkcuSVFfSU5WRU5UT1JZX1RVUk5TLjEwMDAuMTIvMzAvMjAxNgEAAACabQQAAwAAAAAAQt3m</t>
  </si>
  <si>
    <t>hd+32wjZmw6G37fbCCtDSVEuTkFTREFROk1ZUkcuSVFfQVJfVFVSTlMuMTAwMC4xMi8zMS8yMDE0AQAAAJptBAACAAAACDQuNTQwOTU1AQgAAAAFAAAAATEBAAAACjE4MzEzMjczNzUDAAAAAzE2MAIAAAAENDAwMQQAAAABMAcAAAAKMTIvMzEvMjAxNAgAAAAKMTIvMzEvMjAxNAkAAAABMELd5oXft9sI2ZsOht+32wgrQ0lRLk5BU0RBUTpNWVJHLklRX0FSX1RVUk5TLjEwMDAuMTIvMzEvMjAxNQEAAACabQQAAgAAAAg0LjgyMDU0MgEIAAAABQAAAAExAQAAAAoxODc3MzE2MjAwAwAAAAMxNjACAAAABDQwMDEEAAAAATAHAAAACjEyLzMxLzIwMTUIAAAACjEyLzMxLzIwMTUJAAAAATBC3eaF37fbCNmbDobft9sIMkNJUS5OQVNEQVE6TVlSRy5JUV9JTlZFTlRPUllfVFVSTlMuMTAwMC4xMi8zMS8yMDEzAQAAAJptBAADAAAAAABC3eaF37fbCNmbDobft9sILkNJUS5OQVNEQVE6TVlSRy5JUV9BU1NFVF9UVVJOUy4xMDAwLjEyLzMxLzIwMTQBAAAAmm0EAAIAAAAIMS44MDU3NTcBCAAAAAUAAAABMQEAAAAKMTgzMTMyNzM3NQMAAAADMTYwAgAAAAQ0MTc3BAAAAAEwBwAAAAoxMi8zMS8yMDE0CAAAAAoxMi8zMS8yMDE0CQAAAAEwQt3mhd+32wjZmw6G37fbCC5DSVEuTkFTREFROk1ZUkcuSVFfQVNTRVRfVFVSTlMuMTAwMC4xMi8zMS8yMDE1AQAAAJptBAACAAAACDIuMDMxOTAzAQgAAAAFAAAAATEBAAAACjE4</t>
  </si>
  <si>
    <t>NzczMTYyMDADAAAAAzE2MAIAAAAENDE3NwQAAAABMAcAAAAKMTIvMzEvMjAxNQgAAAAKMTIvMzEvMjAxNQkAAAABMELd5oXft9sI2ZsOht+32wguQ0lRLk5BU0RBUTpNWVJHLklRX0FTU0VUX1RVUk5TLjEwMDAuMTIvMzEvMjAxMwEAAACabQQAAgAAAAcxLjgyMDQ0AQgAAAAFAAAAATEBAAAACjE4MjgxNjgyMzcDAAAAAzE2MAIAAAAENDE3NwQAAAABMAcAAAAKMTIvMzEvMjAxMwgAAAAKMTIvMzEvMjAxMwkAAAABMELd5oXft9sI2ZsOht+32wgrQ0lRLk5BU0RBUTpNWVJHLklRX0FSX1RVUk5TLjEwMDAuMTIvMzEvMjAxMwEAAACabQQAAgAAAAg0LjA4MDIyMwEIAAAABQAAAAExAQAAAAoxODI4MTY4MjM3AwAAAAMxNjACAAAABDQwMDEEAAAAATAHAAAACjEyLzMxLzIwMTMIAAAACjEyLzMxLzIwMTMJAAAAATBC3eaF37fbCNmbDobft9sILkNJUS5OQVNEQVE6TVlSRy5JUV9FQklUX01BUkdJTi4xMDAwLjEyLzMwLzIwMTYBAAAAmm0EAAIAAAAGNC4wMjk4AQgAAAAFAAAAATEBAAAACjE4NzczMTYyMDADAAAAAzE2MAIAAAAENDA1MwQAAAABMAcAAAAKMTIvMzAvMjAxNggAAAAKMTIvMzEvMjAxNQkAAAABMELd5oXft9sIiHubpt+32wgwQ0lRLk5BU0RBUTpNWVJHLklRX1JFVFVSTl9FUVVJVFkuMTAwMC4xMi8zMC8yMDE2AQAAAJptBAACAAAABjguMzY5MgEIAAAABQAAAAExAQAAAAoxODc3MzE2MjAwAwAA</t>
  </si>
  <si>
    <t>AAMxNjACAAAABDQxMjgEAAAAATAHAAAACjEyLzMwLzIwMTYIAAAACjEyLzMxLzIwMTUJAAAAATBC3eaF37fbCEvZJbfjt9sILENJUS5OQVNEQVE6TVlSRy5JUV9OSV9NQVJHSU4uMTAwMC4xMi8zMC8yMDE2AQAAAJptBAACAAAABjIuNTcxNQEIAAAABQAAAAExAQAAAAoxODc3MzE2MjAwAwAAAAMxNjACAAAABDQwOTQEAAAAATAHAAAACjEyLzMwLzIwMTYIAAAACjEyLzMxLzIwMTUJAAAAATBC3eaF37fbCETAkaDft9sINUNJUS5OQVNEQVE6TVlSRy5JUV9HUk9TU19NQVJHSU4uMTAwMC4xMi8zMC8yMDE2Li4uVVNEAQAAAJptBAACAAAABzExLjUyMzMBCAAAAAUAAAABMQEAAAAKMTg3NzMxNjIwMAMAAAADMTYwAgAAAAQ0MDc0BAAAAAEwBwAAAAoxMi8zMC8yMDE2CAAAAAoxMi8zMS8yMDE1CQAAAAEwQt3mhd+32wjZmw6G37fbCDBDSVEuTkFTREFROk1ZUkcuSVFfUkVUVVJOX0FTU0VUUy4xMDAwLjEyLzMwLzIwMTYBAAAAmm0EAAIAAAAGNS4xMTc2AQgAAAAFAAAAATEBAAAACjE4NzczMTYyMDADAAAAAzE2MAIAAAAENDE3OAQAAAABMAcAAAAKMTIvMzAvMjAxNggAAAAKMTIvMzEvMjAxNQkAAAABMELd5oXft9sImgWVrt+32wg2Q0lRLk5BU0RBUTpNWVJHLklRX0VCSVREQV9NQVJHSU4uMTAwMC4xMi8zMC8yMDE2Li4uVVNEAQAAAJptBAACAAAABjcuNjExNwEIAAAABQAAAAExAQAAAAoxODc3MzE2MjAw</t>
  </si>
  <si>
    <t>AwAAAAMxNjACAAAABDQwNDcEAAAAATAHAAAACjEyLzMwLzIwMTYIAAAACjEyLzMxLzIwMTUJAAAAATBC3eaF37fbCJoFla7ft9sILENJUS5OQVNEQVE6TVlSRy5JUV9OSV9NQVJHSU4uMTAwMC4xMi8zMS8yMDE0AQAAAJptBAACAAAABjMuODcxMwEIAAAABQAAAAExAQAAAAoxODMxMzI3Mzc1AwAAAAMxNjACAAAABDQwOTQEAAAAATAHAAAACjEyLzMxLzIwMTQIAAAACjEyLzMxLzIwMTQJAAAAATBC3eaF37fbCMAwVaDft9sIMENJUS5OQVNEQVE6TVlSRy5JUV9SRVRVUk5fRVFVSVRZLjEwMDAuMTIvMzEvMjAxNQEAAACabQQAAgAAAAY4LjM2OTIBCAAAAAUAAAABMQEAAAAKMTg3NzMxNjIwMAMAAAADMTYwAgAAAAQ0MTI4BAAAAAEwBwAAAAoxMi8zMS8yMDE1CAAAAAoxMi8zMS8yMDE1CQAAAAEwQt3mhd+32whL2SW347fbCDVDSVEuTkFTREFROk1ZUkcuSVFfR1JPU1NfTUFSR0lOLjEwMDAuMTIvMzEvMjAxNS4uLlVTRAEAAACabQQAAgAAAAcxMS41MjMzAQgAAAAFAAAAATEBAAAACjE4NzczMTYyMDADAAAAAzE2MAIAAAAENDA3NAQAAAABMAcAAAAKMTIvMzEvMjAxNQgAAAAKMTIvMzEvMjAxNQkAAAABMELd5oXft9sIQnEOht+32wgsQ0lRLk5BU0RBUTpNWVJHLklRX05JX01BUkdJTi4xMDAwLjEyLzMxLzIwMTMBAAAAmm0EAAIAAAAGMy44NTA0AQgAAAAFAAAAATEBAAAACjE4MjgxNjgyMzcDAAAAAzE2</t>
  </si>
  <si>
    <t>MAIAAAAENDA5NAQAAAABMAcAAAAKMTIvMzEvMjAxMwgAAAAKMTIvMzEvMjAxMwkAAAABMELd5oXft9sIwDBVoN+32wg2Q0lRLk5BU0RBUTpNWVJHLklRX0VCSVREQV9NQVJHSU4uMTAwMC4xMi8zMS8yMDE0Li4uVVNEAQAAAJptBAACAAAABTkuNDY5AQgAAAAFAAAAATEBAAAACjE4MzEzMjczNzUDAAAAAzE2MAIAAAAENDA0NwQAAAABMAcAAAAKMTIvMzEvMjAxNAgAAAAKMTIvMzEvMjAxNAkAAAABMELd5oXft9sIHGNFrt+32wg1Q0lRLk5BU0RBUTpNWVJHLklRX0dST1NTX01BUkdJTi4xMDAwLjEyLzMxLzIwMTQuLi5VU0QBAAAAmm0EAAIAAAAHMTQuMDI3MwEIAAAABQAAAAExAQAAAAoxODMxMzI3Mzc1AwAAAAMxNjACAAAABDQwNzQEAAAAATAHAAAACjEyLzMxLzIwMTQIAAAACjEyLzMxLzIwMTQJAAAAATBC3eaF37fbCEJxDobft9sILkNJUS5OQVNEQVE6TVlSRy5JUV9FQklUX01BUkdJTi4xMDAwLjEyLzMxLzIwMTMBAAAAmm0EAAIAAAAFNi4wNjIBCAAAAAUAAAABMQEAAAAKMTgyODE2ODIzNwMAAAADMTYwAgAAAAQ0MDUzBAAAAAEwBwAAAAoxMi8zMS8yMDEzCAAAAAoxMi8zMS8yMDEzCQAAAAEwQt3mhd+32wjqwlCm37fbCDBDSVEuTkFTREFROk1ZUkcuSVFfUkVUVVJOX0FTU0VUUy4xMDAwLjEyLzMxLzIwMTUBAAAAmm0EAAIAAAAGNS4xMTc2AQgAAAAFAAAAATEBAAAACjE4NzczMTYyMDADAAAA</t>
  </si>
  <si>
    <t>AzE2MAIAAAAENDE3OAQAAAABMAcAAAAKMTIvMzEvMjAxNQgAAAAKMTIvMzEvMjAxNQkAAAABMELd5oXft9sIHGNFrt+32wguQ0lRLk5BU0RBUTpNWVJHLklRX0VCSVRfTUFSR0lOLjEwMDAuMTIvMzEvMjAxNAEAAACabQQAAgAAAAY1LjkyODMBCAAAAAUAAAABMQEAAAAKMTgzMTMyNzM3NQMAAAADMTYwAgAAAAQ0MDUzBAAAAAEwBwAAAAoxMi8zMS8yMDE0CAAAAAoxMi8zMS8yMDE0CQAAAAEwQt3mhd+32wjqwlCm37fbCDBDSVEuTkFTREFROk1ZUkcuSVFfUkVUVVJOX0VRVUlUWS4xMDAwLjEyLzMxLzIwMTQBAAAAmm0EAAIAAAAHMTEuODE0MgEIAAAABQAAAAExAQAAAAoxODMxMzI3Mzc1AwAAAAMxNjACAAAABDQxMjgEAAAAATAHAAAACjEyLzMxLzIwMTQIAAAACjEyLzMxLzIwMTQJAAAAATBC3eaF37fbCEvZJbfjt9sIMENJUS5OQVNEQVE6TVlSRy5JUV9SRVRVUk5fQVNTRVRTLjEwMDAuMTIvMzEvMjAxMwEAAACabQQAAgAAAAY2Ljg5NzIBCAAAAAUAAAABMQEAAAAKMTgyODE2ODIzNwMAAAADMTYwAgAAAAQ0MTc4BAAAAAEwBwAAAAoxMi8zMS8yMDEzCAAAAAoxMi8zMS8yMDEzCQAAAAEwQt3mhd+32wgcY0Wu37fbCDBDSVEuTkFTREFROk1ZUkcuSVFfUkVUVVJOX0FTU0VUUy4xMDAwLjEyLzMxLzIwMTQBAAAAmm0EAAIAAAAGNi42OTA3AQgAAAAFAAAAATEBAAAACjE4MzEzMjczNzUDAAAAAzE2MAIA</t>
  </si>
  <si>
    <t>AAAENDE3OAQAAAABMAcAAAAKMTIvMzEvMjAxNAgAAAAKMTIvMzEvMjAxNAkAAAABMELd5oXft9sIHGNFrt+32wg2Q0lRLk5BU0RBUTpNWVJHLklRX0VCSVREQV9NQVJHSU4uMTAwMC4xMi8zMS8yMDEzLi4uVVNEAQAAAJptBAACAAAABjkuMjk2MQEIAAAABQAAAAExAQAAAAoxODI4MTY4MjM3AwAAAAMxNjACAAAABDQwNDcEAAAAATAHAAAACjEyLzMxLzIwMTMIAAAACjEyLzMxLzIwMTMJAAAAATBC3eaF37fbCBxjRa7ft9sILkNJUS5OQVNEQVE6TVlSRy5JUV9FQklUX01BUkdJTi4xMDAwLjEyLzMxLzIwMTUBAAAAmm0EAAIAAAAGNC4wMjk4AQgAAAAFAAAAATEBAAAACjE4NzczMTYyMDADAAAAAzE2MAIAAAAENDA1MwQAAAABMAcAAAAKMTIvMzEvMjAxNQgAAAAKMTIvMzEvMjAxNQkAAAABMELd5oXft9sI6sJQpt+32wgwQ0lRLk5BU0RBUTpNWVJHLklRX1JFVFVSTl9FUVVJVFkuMTAwMC4xMi8zMS8yMDEzAQAAAJptBAACAAAABzEyLjYyMTcBCAAAAAUAAAABMQEAAAAKMTgyODE2ODIzNwMAAAADMTYwAgAAAAQ0MTI4BAAAAAEwBwAAAAoxMi8zMS8yMDEzCAAAAAoxMi8zMS8yMDEzCQAAAAEwQt3mhd+32whL2SW347fbCCxDSVEuTkFTREFROk1ZUkcuSVFfTklfTUFSR0lOLjEwMDAuMTIvMzEvMjAxNQEAAACabQQAAgAAAAYyLjU3MTUBCAAAAAUAAAABMQEAAAAKMTg3NzMxNjIwMAMAAAADMTYwAgAAAAQ0</t>
  </si>
  <si>
    <t>MDk0BAAAAAEwBwAAAAoxMi8zMS8yMDE1CAAAAAoxMi8zMS8yMDE1CQAAAAEwQt3mhd+32wirCVWg37fbCDZDSVEuTkFTREFROk1ZUkcuSVFfRUJJVERBX01BUkdJTi4xMDAwLjEyLzMxLzIwMTUuLi5VU0QBAAAAmm0EAAIAAAAGNy42MTE3AQgAAAAFAAAAATEBAAAACjE4NzczMTYyMDADAAAAAzE2MAIAAAAENDA0NwQAAAABMAcAAAAKMTIvMzEvMjAxNQgAAAAKMTIvMzEvMjAxNQkAAAABMELd5oXft9sIHGNFrt+32wg1Q0lRLk5BU0RBUTpNWVJHLklRX0dST1NTX01BUkdJTi4xMDAwLjEyLzMxLzIwMTMuLi5VU0QBAAAAmm0EAAIAAAAHMTMuODMzMgEIAAAABQAAAAExAQAAAAoxODI4MTY4MjM3AwAAAAMxNjACAAAABDQwNzQEAAAAATAHAAAACjEyLzMxLzIwMTMIAAAACjEyLzMxLzIwMTMJAAAAATBC3eaF37fbCEJxDobft9sIIkNJUS5OQVNEQVE6TVlSRy5JUV9OSV9NQVJHSU4uMTAwMC4BAAAAmm0EAAIAAAAGMi43NzE0AQgAAAAFAAAAATEBAAAACy0yMDYwMDcwNDgyAwAAAAMxNjACAAAABDQwOTQEAAAAATAHAAAACTkvMTgvMjAyMwgAAAAKMTIvMzEvMjAyMgkAAAABMPEqfKDft9sI8Sp8oN+32wgfQ0lRLk5ZU0U6TVRaLklRX05JX01BUkdJTi4xMDAwLgEAAABUngIAAgAAAAYwLjM0MTEBCAAAAAUAAAABMQEAAAALLTIwNTY5MTk0MjYDAAAAAzE2MAIAAAAENDA5NAQAAAABMAcAAAAJOS8xOC8yMDIz</t>
  </si>
  <si>
    <t>CAAAAAoxMi8zMS8yMDIyCQAAAAEw8Sp8oN+32wjxKnyg37fbCB9DSVEuTllTRTpQV1IuSVFfTklfTUFSR0lOLjEwMDAuAQAAAOWCAAACAAAABjIuODc2OAEIAAAABQAAAAExAQAAAAstMjA1OTc0MTM3MwMAAAADMTYwAgAAAAQ0MDk0BAAAAAEwBwAAAAk5LzE4LzIwMjMIAAAACjEyLzMxLzIwMjIJAAAAATDxKnyg37fbCPEqfKDft9sIJENJUS5OQVNEQVE6TVlSRy5JUV9FQklUX01BUkdJTi4xMDAwLgEAAACabQQAAgAAAAYzLjc0MDMBCAAAAAUAAAABMQEAAAALLTIwNjAwNzA0ODIDAAAAAzE2MAIAAAAENDA1MwQAAAABMAcAAAAJOS8xOC8yMDIzCAAAAAoxMi8zMS8yMDIyCQAAAAEw1QeHpt+32wjVB4em37fbCCFDSVEuTllTRTpQV1IuSVFfRUJJVF9NQVJHSU4uMTAwMC4BAAAA5YIAAAIAAAAGNC45MTA4AQgAAAAFAAAAATEBAAAACy0yMDU5NzQxMzczAwAAAAMxNjACAAAABDQwNTMEAAAAATAHAAAACTkvMTgvMjAyMwgAAAAKMTIvMzEvMjAyMgkAAAABMNUHh6bft9sI1QeHpt+32wghQ0lRLk5ZU0U6TVRaLklRX0VCSVRfTUFSR0lOLjEwMDAuAQAAAFSeAgACAAAABjIuMjg0OQEIAAAABQAAAAExAQAAAAstMjA1NjkxOTQyNgMAAAADMTYwAgAAAAQ0MDUzBAAAAAEwBwAAAAk5LzE4LzIwMjMIAAAACjEyLzMxLzIwMjIJAAAAATDVB4em37fbCNUHh6bft9sILENJUS5OQVNEQVE6TVlSRy5JUV9FQklUREFf</t>
  </si>
  <si>
    <t>TUFSR0lOLjEwMDAuLi4uVVNEAQAAAJptBAACAAAABjUuNjczOAEIAAAABQAAAAExAQAAAAstMjA2MDA3MDQ4MgMAAAADMTYwAgAAAAQ0MDQ3BAAAAAEwBwAAAAk5LzE4LzIwMjMIAAAACjEyLzMxLzIwMjIJAAAAATDO8oGu37fbCM7yga7ft9sIJkNJUS5OQVNEQVE6TVlSRy5JUV9SRVRVUk5fRVFVSVRZLjEwMDAuAQAAAJptBAACAAAABzE1LjQ1MDkBCAAAAAUAAAABMQEAAAALLTIwNjAwNzA0ODIDAAAAAzE2MAIAAAAENDEyOAQAAAABMAcAAAAJOS8xOC8yMDIzCAAAAAoxMi8zMS8yMDIyCQAAAAEwzvKBrt+32wjO8oGu37fbCCZDSVEuTkFTREFROk1ZUkcuSVFfUkVUVVJOX0FTU0VUUy4xMDAwLgEAAACabQQAAgAAAAY1LjU4MTkBCAAAAAUAAAABMQEAAAALLTIwNjAwNzA0ODIDAAAAAzE2MAIAAAAENDE3OAQAAAABMAcAAAAJOS8xOC8yMDIzCAAAAAoxMi8zMS8yMDIyCQAAAAEwzvKBrt+32wjO8oGu37fbCClDSVEuTllTRTpNVFouSVFfRUJJVERBX01BUkdJTi4xMDAwLi4uLlVTRAEAAABUngIAAgAAAAY3LjQ3MTUBCAAAAAUAAAABMQEAAAALLTIwNTY5MTk0MjYDAAAAAzE2MAIAAAAENDA0NwQAAAABMAcAAAAJOS8xOC8yMDIzCAAAAAoxMi8zMS8yMDIyCQAAAAEwzvKBrt+32wjO8oGu37fbCCNDSVEuTllTRTpQV1IuSVFfUkVUVVJOX0VRVUlUWS4xMDAwLgEAAADlggAAAgAAAAY5LjczMDkBCAAAAAUA</t>
  </si>
  <si>
    <t>AAABMQEAAAALLTIwNTk3NDEzNzMDAAAAAzE2MAIAAAAENDEyOAQAAAABMAcAAAAJOS8xOC8yMDIzCAAAAAoxMi8zMS8yMDIyCQAAAAEwzvKBrt+32wjO8oGu37fbCCNDSVEuTllTRTpNVFouSVFfUkVUVVJOX0FTU0VUUy4xMDAwLgEAAABUngIAAgAAAAYxLjcwMTMBCAAAAAUAAAABMQEAAAALLTIwNTY5MTk0MjYDAAAAAzE2MAIAAAAENDE3OAQAAAABMAcAAAAJOS8xOC8yMDIzCAAAAAoxMi8zMS8yMDIyCQAAAAEwzvKBrt+32wjO8oGu37fbCCNDSVEuTllTRTpQV1IuSVFfUkVUVVJOX0FTU0VUUy4xMDAwLgEAAADlggAAAgAAAAYzLjk4MjEBCAAAAAUAAAABMQEAAAALLTIwNTk3NDEzNzMDAAAAAzE2MAIAAAAENDE3OAQAAAABMAcAAAAJOS8xOC8yMDIzCAAAAAoxMi8zMS8yMDIyCQAAAAEwzvKBrt+32wjO8oGu37fbCClDSVEuTllTRTpQV1IuSVFfRUJJVERBX01BUkdJTi4xMDAwLi4uLlVTRAEAAADlggAAAgAAAAY4LjY4NjMBCAAAAAUAAAABMQEAAAALLTIwNTk3NDEzNzMDAAAAAzE2MAIAAAAENDA0NwQAAAABMAcAAAAJOS8xOC8yMDIzCAAAAAoxMi8zMS8yMDIyCQAAAAEwzvKBrt+32wjO8oGu37fbCCNDSVEuTllTRTpNVFouSVFfUkVUVVJOX0VRVUlUWS4xMDAwLgEAAABUngIAAgAAAAYxLjI4MjQBCAAAAAUAAAABMQEAAAALLTIwNTY5MTk0MjYDAAAAAzE2MAIAAAAENDEyOAQAAAABMAcAAAAJOS8x</t>
  </si>
  <si>
    <t>OC8yMDIzCAAAAAoxMi8zMS8yMDIyCQAAAAEwzvKBrt+32wjO8oGu37fbCCtDSVEuTllTRTpNVFouSVFfRUJJVERBX0lOVC4xMDAwLkQkMTchLi4uVVNEBQAAAAAAAAAIAAAAGyhJbnZhbGlkIEFzIE9mIFRpbWUgUGVyaW9kKdHUJmzht9sIlqQ3bOG32wgqQ0lRLk5ZU0U6TVRaLklRX0VCSVREQV9JTlQuMTAwMC4xMi8zMS8yMDEzAQAAAFSeAgACAAAACDkuMTU2Njk2AQgAAAAFAAAAATEBAAAACjE3NzgxNDYwNzIDAAAAAzE2MAIAAAAENDE5MAQAAAABMAcAAAAKMTIvMzEvMjAxMwgAAAAKMTIvMzEvMjAxMwkAAAABMHoInI7ht9sIzjaujuG32wgqQ0lRLk5ZU0U6UFdSLklRX0VCSVREQV9JTlQuMTAwMC4xMi8zMS8yMDIyAQAAAOWCAAACAAAACTIwLjQ2NDY5NgEIAAAABQAAAAExAQAAAAstMjA1OTc0MTM3MwMAAAADMTYwAgAAAAQ0MTkwBAAAAAEwBwAAAAoxMi8zMS8yMDIyCAAAAAoxMi8zMS8yMDIyCQAAAAEwExewkeG32wjcC8SR4bfbCCpDSVEuTllTRTpNVFouSVFfRUJJVERBX0lOVC4xMDAwLjEyLzMxLzIwMTgBAAAAVJ4CAAIAAAAIOC4yNjk2MjIBCAAAAAUAAAABMQEAAAAKMjA4MTk2ODY4NAMAAAADMTYwAgAAAAQ0MTkwBAAAAAEwBwAAAAoxMi8zMS8yMDE4CAAAAAoxMi8zMS8yMDE4CQAAAAEwExewkeG32wjcC8SR4bfbCCpDSVEuTllTRTpQV1IuSVFfRUJJVERBX0lOVC4xMDAwLjEyLzMxLzIw</t>
  </si>
  <si>
    <t>MjEBAAAA5YIAAAIAAAAHMjcuNDA0MgEIAAAABQAAAAExAQAAAAstMjA1OTc0MTM4MgMAAAADMTYwAgAAAAQ0MTkwBAAAAAEwBwAAAAoxMi8zMS8yMDIxCAAAAAoxMi8zMS8yMDIxCQAAAAEwExewkeG32wjcC8SR4bfbCCpDSVEuTllTRTpNVFouSVFfRUJJVERBX0lOVC4xMDAwLjEyLzMxLzIwMTcBAAAAVJ4CAAIAAAAIOS42MjM5NjkBCAAAAAUAAAABMQEAAAAKMjAxODA3Njc3OAMAAAADMTYwAgAAAAQ0MTkwBAAAAAEwBwAAAAoxMi8zMS8yMDE3CAAAAAoxMi8zMS8yMDE3CQAAAAEwExewkeG32wjcC8SR4bfbCCpDSVEuTllTRTpQV1IuSVFfRUJJVERBX0lOVC4xMDAwLjEyLzMxLzIwMjABAAAA5YIAAAIAAAAJMzcuNzM2ODc2AQgAAAAFAAAAATEBAAAACy0yMDU5NzQxMzU3AwAAAAMxNjACAAAABDQxOTAEAAAAATAHAAAACjEyLzMxLzIwMjAIAAAACjEyLzMxLzIwMjAJAAAAATATF7CR4bfbCFrhw5Hht9sIKkNJUS5OWVNFOk1UWi5JUV9FQklUREFfSU5ULjEwMDAuMTIvMzAvMjAxNgEAAABUngIAAgAAAAc0Ljk3MTc0AQgAAAAFAAAAATEBAAAACjE4NzY3MzQ4MDYDAAAAAzE2MAIAAAAENDE5MAQAAAABMAcAAAAKMTIvMzAvMjAxNggAAAAKMTIvMzEvMjAxNQkAAAABMBMXsJHht9sI3AvEkeG32wgqQ0lRLk5ZU0U6UFdSLklRX0VCSVREQV9JTlQuMTAwMC4xMi8zMS8yMDE5AQAAAOWCAAACAAAACTI3LjQ3</t>
  </si>
  <si>
    <t>OTEyOQEIAAAABQAAAAExAQAAAAstMjExMDM2NzIyNAMAAAADMTYwAgAAAAQ0MTkwBAAAAAEwBwAAAAoxMi8zMS8yMDE5CAAAAAoxMi8zMS8yMDE5CQAAAAEwExewkeG32wjcC8SR4bfbCCpDSVEuTllTRTpNVFouSVFfRUJJVERBX0lOVC4xMDAwLjEyLzMxLzIwMTUBAAAAVJ4CAAIAAAAHNC45NzE3NAEIAAAABQAAAAExAQAAAAoxODc2NzM0ODA2AwAAAAMxNjACAAAABDQxOTAEAAAAATAHAAAACjEyLzMxLzIwMTUIAAAACjEyLzMxLzIwMTUJAAAAATATF7CR4bfbCNwLxJHht9sIKkNJUS5OWVNFOlBXUi5JUV9FQklUREFfSU5ULjEwMDAuMTIvMzEvMjAxOAEAAADlggAAAgAAAAkyMi4zMjgwMjgBCAAAAAUAAAABMQEAAAAKMjA4MjQ4MTI3MQMAAAADMTYwAgAAAAQ0MTkwBAAAAAEwBwAAAAoxMi8zMS8yMDE4CAAAAAoxMi8zMS8yMDE4CQAAAAEwExewkeG32wha4cOR4bfbCCpDSVEuTllTRTpNVFouSVFfRUJJVERBX0lOVC4xMDAwLjEyLzMxLzIwMTQBAAAAVJ4CAAIAAAAHNy44OTUyNwEIAAAABQAAAAExAQAAAAoxODI5MjI1NTIxAwAAAAMxNjACAAAABDQxOTAEAAAAATAHAAAACjEyLzMxLzIwMTQIAAAACjEyLzMxLzIwMTQJAAAAATATF7CR4bfbCFrhw5Hht9sIKkNJUS5OWVNFOlBXUi5JUV9FQklUREFfSU5ULjEwMDAuMTIvMzEvMjAxNwEAAADlggAAAgAAAAkzMC45MjQ2NjMBCAAAAAUAAAABMQEAAAAK</t>
  </si>
  <si>
    <t>MjAxODM5ODM0NwMAAAADMTYwAgAAAAQ0MTkwBAAAAAEwBwAAAAoxMi8zMS8yMDE3CAAAAAoxMi8zMS8yMDE3CQAAAAEwExewkeG32wha4cOR4bfbCCpDSVEuTllTRTpQV1IuSVFfRUJJVERBX0lOVC4xMDAwLjEyLzMwLzIwMTYBAAAA5YIAAAIAAAAJNjEuOTY5OTY1AQgAAAAFAAAAATEBAAAACjE4NzY5Mjc1NzUDAAAAAzE2MAIAAAAENDE5MAQAAAABMAcAAAAKMTIvMzAvMjAxNggAAAAKMTIvMzEvMjAxNQkAAAABMBMXsJHht9sIWuHDkeG32wgqQ0lRLk5ZU0U6UFdSLklRX0VCSVREQV9JTlQuMTAwMC4xMi8zMS8yMDE1AQAAAOWCAAACAAAACTYxLjk2OTk2NQEIAAAABQAAAAExAQAAAAoxODc2OTI3NTc1AwAAAAMxNjACAAAABDQxOTAEAAAAATAHAAAACjEyLzMxLzIwMTUIAAAACjEyLzMxLzIwMTUJAAAAATATF7CR4bfbCFrhw5Hht9sIKkNJUS5OWVNFOlBXUi5JUV9FQklUREFfSU5ULjEwMDAuMTIvMzEvMjAxNAEAAADlggAAAgAAAAoxMzcuNDIzNTA0AQgAAAAFAAAAATEBAAAACjE4MzAwNjQ2NTYDAAAAAzE2MAIAAAAENDE5MAQAAAABMAcAAAAKMTIvMzEvMjAxNAgAAAAKMTIvMzEvMjAxNAkAAAABMBMXsJHht9sIWuHDkeG32wgqQ0lRLk5ZU0U6UFdSLklRX0VCSVREQV9JTlQuMTAwMC4xMi8zMS8yMDEzAQAAAOWCAAACAAAACjIzMi42NDM5MjgBCAAAAAUAAAABMQEAAAAKMTc3ODYzNzYzMwMAAAAD</t>
  </si>
  <si>
    <t>MTYwAgAAAAQ0MTkwBAAAAAEwBwAAAAoxMi8zMS8yMDEzCAAAAAoxMi8zMS8yMDEzCQAAAAEwExewkeG32wha4cOR4bfbCC1DSVEuTkFTREFROk1ZUkcuSVFfRUJJVERBX0lOVC4xMDAwLjEyLzMxLzIwMjIBAAAAmm0EAAIAAAAJNTEuNzkzOTkzAQgAAAAFAAAAATEBAAAACy0yMDYwMDcwNDgyAwAAAAMxNjACAAAABDQxOTAEAAAAATAHAAAACjEyLzMxLzIwMjIIAAAACjEyLzMxLzIwMjIJAAAAATATF7CR4bfbCFrhw5Hht9sILUNJUS5OQVNEQVE6TVlSRy5JUV9FQklUREFfSU5ULjEwMDAuMTIvMzEvMjAyMQEAAACabQQAAgAAAAc5NS43MjA0AQgAAAAFAAAAATEBAAAACy0yMDYwMDcwNDkzAwAAAAMxNjACAAAABDQxOTAEAAAAATAHAAAACjEyLzMxLzIwMjEIAAAACjEyLzMxLzIwMjEJAAAAATATF7CR4bfbCFrhw5Hht9sILUNJUS5OQVNEQVE6TVlSRy5JUV9FQklUREFfSU5ULjEwMDAuMTIvMzEvMjAyMAEAAACabQQAAgAAAAkzMC42NTkyMTUBCAAAAAUAAAABMQEAAAALLTIwNjAwNzA0ODYDAAAAAzE2MAIAAAAENDE5MAQAAAABMAcAAAAKMTIvMzEvMjAyMAgAAAAKMTIvMzEvMjAyMAkAAAABMBMXsJHht9sIWuHDkeG32wgtQ0lRLk5BU0RBUTpNWVJHLklRX0VCSVREQV9JTlQuMTAwMC4xMi8zMS8yMDE5AQAAAJptBAACAAAACTE2Ljk4MzkzNQEIAAAABQAAAAExAQAAAAstMjExMTI0MzY4NAMAAAADMTYw</t>
  </si>
  <si>
    <t>AgAAAAQ0MTkwBAAAAAEwBwAAAAoxMi8zMS8yMDE5CAAAAAoxMi8zMS8yMDE5CQAAAAEwExewkeG32wha4cOR4bfbCC1DSVEuTkFTREFROk1ZUkcuSVFfRUJJVERBX0lOVC4xMDAwLjEyLzMxLzIwMTgBAAAAmm0EAAIAAAAJMjMuNjU2MzUyAQgAAAAFAAAAATEBAAAACjIwODI4NzA2MzADAAAAAzE2MAIAAAAENDE5MAQAAAABMAcAAAAKMTIvMzEvMjAxOAgAAAAKMTIvMzEvMjAxOAkAAAABMBMXsJHht9sIWuHDkeG32wgtQ0lRLk5BU0RBUTpNWVJHLklRX0VCSVREQV9JTlQuMTAwMC4xMi8zMS8yMDE3AQAAAJptBAACAAAACTI0Ljc2NzU3NQEIAAAABQAAAAExAQAAAAoyMDE5NTQ3MTkyAwAAAAMxNjACAAAABDQxOTAEAAAAATAHAAAACjEyLzMxLzIwMTcIAAAACjEyLzMxLzIwMTcJAAAAATATF7CR4bfbCFrhw5Hht9sILUNJUS5OQVNEQVE6TVlSRy5JUV9FQklUREFfSU5ULjEwMDAuMTIvMzAvMjAxNgEAAACabQQAAgAAAAoxMDkuMDU5Mzc5AQgAAAAFAAAAATEBAAAACjE4NzczMTYyMDADAAAAAzE2MAIAAAAENDE5MAQAAAABMAcAAAAKMTIvMzAvMjAxNggAAAAKMTIvMzEvMjAxNQkAAAABMBMXsJHht9sIWuHDkeG32wgtQ0lRLk5BU0RBUTpNWVJHLklRX0VCSVREQV9JTlQuMTAwMC4xMi8zMS8yMDE1AQAAAJptBAACAAAACjEwOS4wNTkzNzkBCAAAAAUAAAABMQEAAAAKMTg3NzMxNjIwMAMAAAADMTYwAgAA</t>
  </si>
  <si>
    <t>AAQ0MTkwBAAAAAEwBwAAAAoxMi8zMS8yMDE1CAAAAAoxMi8zMS8yMDE1CQAAAAEwExewkeG32wha4cOR4bfbCC1DSVEuTkFTREFROk1ZUkcuSVFfRUJJVERBX0lOVC4xMDAwLjEyLzMxLzIwMTQBAAAAmm0EAAIAAAAKMTIzLjgwMTkzOQEIAAAABQAAAAExAQAAAAoxODMxMzI3Mzc1AwAAAAMxNjACAAAABDQxOTAEAAAAATAHAAAACjEyLzMxLzIwMTQIAAAACjEyLzMxLzIwMTQJAAAAATATF7CR4bfbCFrhw5Hht9sILUNJUS5OQVNEQVE6TVlSRy5JUV9FQklUREFfSU5ULjEwMDAuMTIvMzEvMjAxMwEAAACabQQAAgAAAAoxMTUuNDMxOTExAQgAAAAFAAAAATEBAAAACjE4MjgxNjgyMzcDAAAAAzE2MAIAAAAENDE5MAQAAAABMAcAAAAKMTIvMzEvMjAxMwgAAAAKMTIvMzEvMjAxMwkAAAABMBMXsJHht9sIWuHDkeG32wgqQ0lRLk5ZU0U6TVRaLklRX0VCSVREQV9JTlQuMTAwMC4xMi8zMS8yMDIyAQAAAFSeAgACAAAACTExLjA2ODI2NAEIAAAABQAAAAExAQAAAAstMjA1NjkxOTQyNgMAAAADMTYwAgAAAAQ0MTkwBAAAAAEwBwAAAAoxMi8zMS8yMDIyCAAAAAoxMi8zMS8yMDIyCQAAAAEwExewkeG32wha4cOR4bfbCCpDSVEuTllTRTpNVFouSVFfRUJJVERBX0lOVC4xMDAwLjEyLzMxLzIwMjEBAAAAVJ4CAAIAAAAJMjcuMTE4NDE2AQgAAAAFAAAAATEBAAAACy0yMDU2OTE5NDE5AwAAAAMxNjACAAAABDQxOTAE</t>
  </si>
  <si>
    <t>AAAAATAHAAAACjEyLzMxLzIwMjEIAAAACjEyLzMxLzIwMjEJAAAAATATF7CR4bfbCFrhw5Hht9sIKkNJUS5OWVNFOk1UWi5JUV9FQklUREFfSU5ULjEwMDAuMTIvMzEvMjAyMAEAAABUngIAAgAAAAkxOS42OTAzMzUBCAAAAAUAAAABMQEAAAALLTIwNTY5MTkzOTgDAAAAAzE2MAIAAAAENDE5MAQAAAABMAcAAAAKMTIvMzEvMjAyMAgAAAAKMTIvMzEvMjAyMAkAAAABMBMXsJHht9sIWuHDkeG32wgqQ0lRLk5ZU0U6TVRaLklRX0VCSVREQV9JTlQuMTAwMC4xMi8zMS8yMDE5AQAAAFSeAgACAAAACTE4LjA0OTUyOAEIAAAABQAAAAExAQAAAAstMjEwOTY5ODEzNwMAAAADMTYwAgAAAAQ0MTkwBAAAAAEwBwAAAAoxMi8zMS8yMDE5CAAAAAoxMi8zMS8yMDE5CQAAAAEwExewkeG32wha4cOR4bfbCDFDSVEuTllTRTpNVFouSVFfVE9UQUxfREVCVF9FQklUREEuMTAwMC4xMi8zMS8yMDEzAQAAAFSeAgACAAAACDEuOTA0MzI5AQgAAAAFAAAAATEBAAAACjE3NzgxNDYwNzIDAAAAAzE2MAIAAAAENDE5MgQAAAABMAcAAAAKMTIvMzEvMjAxMwgAAAAKMTIvMzEvMjAxMwkAAAABMIKU6qrht9sIzP37quG32wgxQ0lRLk5ZU0U6UFdSLklRX1RPVEFMX0RFQlRfRUJJVERBLjEwMDAuMTIvMzEvMjAyMgEAAADlggAAAgAAAAgxLjU2MjA0NwEIAAAABQAAAAExAQAAAAstMjA1OTc0MTM3MwMAAAADMTYwAgAAAAQ0MTkyBAAA</t>
  </si>
  <si>
    <t>AAEwBwAAAAoxMi8zMS8yMDIyCAAAAAoxMi8zMS8yMDIyCQAAAAEwiJZWrOG32wjzgGus4bfbCDFDSVEuTllTRTpNVFouSVFfVE9UQUxfREVCVF9FQklUREEuMTAwMC4xMi8zMS8yMDE4AQAAAFSeAgACAAAABzIuMDYwMzYBCAAAAAUAAAABMQEAAAAKMjA4MTk2ODY4NAMAAAADMTYwAgAAAAQ0MTkyBAAAAAEwBwAAAAoxMi8zMS8yMDE4CAAAAAoxMi8zMS8yMDE4CQAAAAEwiJZWrOG32wjzgGus4bfbCDFDSVEuTllTRTpQV1IuSVFfVE9UQUxfREVCVF9FQklUREEuMTAwMC4xMi8zMS8yMDIxAQAAAOWCAAACAAAACDIuMTE5NzM0AQgAAAAFAAAAATEBAAAACy0yMDU5NzQxMzgyAwAAAAMxNjACAAAABDQxOTIEAAAAATAHAAAACjEyLzMxLzIwMjEIAAAACjEyLzMxLzIwMjEJAAAAATCIllas4bfbCPOAa6zht9sIMUNJUS5OWVNFOk1UWi5JUV9UT1RBTF9ERUJUX0VCSVREQS4xMDAwLjEyLzMxLzIwMTcBAAAAVJ4CAAIAAAAIMi4zMzA4MDEBCAAAAAUAAAABMQEAAAAKMjAxODA3Njc3OAMAAAADMTYwAgAAAAQ0MTkyBAAAAAEwBwAAAAoxMi8zMS8yMDE3CAAAAAoxMi8zMS8yMDE3CQAAAAEwiJZWrOG32wjzgGus4bfbCDFDSVEuTllTRTpQV1IuSVFfVE9UQUxfREVCVF9FQklUREEuMTAwMC4xMi8zMS8yMDIwAQAAAOWCAAACAAAACDAuODU1MzkzAQgAAAAFAAAAATEBAAAACy0yMDU5NzQxMzU3AwAAAAMxNjACAAAA</t>
  </si>
  <si>
    <t>BDQxOTIEAAAAATAHAAAACjEyLzMxLzIwMjAIAAAACjEyLzMxLzIwMjAJAAAAATCIllas4bfbCOxZa6zht9sIMUNJUS5OWVNFOk1UWi5JUV9UT1RBTF9ERUJUX0VCSVREQS4xMDAwLjEyLzMwLzIwMTYBAAAAVJ4CAAIAAAAINC4yMjg1MzEBCAAAAAUAAAABMQEAAAAKMTg3NjczNDgwNgMAAAADMTYwAgAAAAQ0MTkyBAAAAAEwBwAAAAoxMi8zMC8yMDE2CAAAAAoxMi8zMS8yMDE1CQAAAAEwiJZWrOG32wjsWWus4bfbCDFDSVEuTllTRTpQV1IuSVFfVE9UQUxfREVCVF9FQklUREEuMTAwMC4xMi8zMS8yMDE5AQAAAOWCAAACAAAACDAuOTAwOTczAQgAAAAFAAAAATEBAAAACy0yMTEwMzY3MjI0AwAAAAMxNjACAAAABDQxOTIEAAAAATAHAAAACjEyLzMxLzIwMTkIAAAACjEyLzMxLzIwMTkJAAAAATCIllas4bfbCPOAa6zht9sIMUNJUS5OWVNFOk1UWi5JUV9UT1RBTF9ERUJUX0VCSVREQS4xMDAwLjEyLzMxLzIwMTUBAAAAVJ4CAAIAAAAINC4yMjg1MzEBCAAAAAUAAAABMQEAAAAKMTg3NjczNDgwNgMAAAADMTYwAgAAAAQ0MTkyBAAAAAEwBwAAAAoxMi8zMS8yMDE1CAAAAAoxMi8zMS8yMDE1CQAAAAEwiJZWrOG32wjzgGus4bfbCDFDSVEuTllTRTpQV1IuSVFfVE9UQUxfREVCVF9FQklUREEuMTAwMC4xMi8zMS8yMDE4AQAAAOWCAAACAAAACDEuMzQwOTY5AQgAAAAFAAAAATEBAAAACjIwODI0ODEyNzEDAAAA</t>
  </si>
  <si>
    <t>AzE2MAIAAAAENDE5MgQAAAABMAcAAAAKMTIvMzEvMjAxOAgAAAAKMTIvMzEvMjAxOAkAAAABMIiWVqzht9sI7FlrrOG32wgxQ0lRLk5ZU0U6TVRaLklRX1RPVEFMX0RFQlRfRUJJVERBLjEwMDAuMTIvMzEvMjAxNAEAAABUngIAAgAAAAgyLjgzMTA2NQEIAAAABQAAAAExAQAAAAoxODI5MjI1NTIxAwAAAAMxNjACAAAABDQxOTIEAAAAATAHAAAACjEyLzMxLzIwMTQIAAAACjEyLzMxLzIwMTQJAAAAATCIllas4bfbCOxZa6zht9sIMUNJUS5OWVNFOlBXUi5JUV9UT1RBTF9ERUJUX0VCSVREQS4xMDAwLjEyLzMxLzIwMTcBAAAA5YIAAAIAAAAIMS4wMzczNDkBCAAAAAUAAAABMQEAAAAKMjAxODM5ODM0NwMAAAADMTYwAgAAAAQ0MTkyBAAAAAEwBwAAAAoxMi8zMS8yMDE3CAAAAAoxMi8zMS8yMDE3CQAAAAEwiJZWrOG32wjsWWus4bfbCDFDSVEuTllTRTpQV1IuSVFfVE9UQUxfREVCVF9FQklUREEuMTAwMC4xMi8zMC8yMDE2AQAAAOWCAAACAAAACDAuOTcwMjAzAQgAAAAFAAAAATEBAAAACjE4NzY5Mjc1NzUDAAAAAzE2MAIAAAAENDE5MgQAAAABMAcAAAAKMTIvMzAvMjAxNggAAAAKMTIvMzEvMjAxNQkAAAABMIiWVqzht9sI7FlrrOG32wgxQ0lRLk5ZU0U6UFdSLklRX1RPVEFMX0RFQlRfRUJJVERBLjEwMDAuMTIvMzEvMjAxNQEAAADlggAAAgAAAAgwLjk3MDIwMwEIAAAABQAAAAExAQAAAAoxODc2OTI3</t>
  </si>
  <si>
    <t>NTc1AwAAAAMxNjACAAAABDQxOTIEAAAAATAHAAAACjEyLzMxLzIwMTUIAAAACjEyLzMxLzIwMTUJAAAAATCIllas4bfbCOxZa6zht9sIMUNJUS5OWVNFOlBXUi5JUV9UT1RBTF9ERUJUX0VCSVREQS4xMDAwLjEyLzMxLzIwMTQBAAAA5YIAAAIAAAAIMC4xMjQyNTQBCAAAAAUAAAABMQEAAAAKMTgzMDA2NDY1NgMAAAADMTYwAgAAAAQ0MTkyBAAAAAEwBwAAAAoxMi8zMS8yMDE0CAAAAAoxMi8zMS8yMDE0CQAAAAEwiJZWrOG32wjsWWus4bfbCDFDSVEuTllTRTpQV1IuSVFfVE9UQUxfREVCVF9FQklUREEuMTAwMC4xMi8zMS8yMDEzAQAAAOWCAAACAAAACDAuMDAzNTk5AQgAAAAFAAAAATEBAAAACjE3Nzg2Mzc2MzMDAAAAAzE2MAIAAAAENDE5MgQAAAABMAcAAAAKMTIvMzEvMjAxMwgAAAAKMTIvMzEvMjAxMwkAAAABMIiWVqzht9sI7FlrrOG32wg0Q0lRLk5BU0RBUTpNWVJHLklRX1RPVEFMX0RFQlRfRUJJVERBLjEwMDAuMTIvMzEvMjAyMgEAAACabQQAAgAAAAgwLjQwMzk2NwEIAAAABQAAAAExAQAAAAstMjA2MDA3MDQ4MgMAAAADMTYwAgAAAAQ0MTkyBAAAAAEwBwAAAAoxMi8zMS8yMDIyCAAAAAoxMi8zMS8yMDIyCQAAAAEwiJZWrOG32wjsWWus4bfbCDRDSVEuTkFTREFROk1ZUkcuSVFfVE9UQUxfREVCVF9FQklUREEuMTAwMC4xMi8zMS8yMDIxAQAAAJptBAACAAAACDAuMTQ4MDcxAQgAAAAFAAAA</t>
  </si>
  <si>
    <t>ATEBAAAACy0yMDYwMDcwNDkzAwAAAAMxNjACAAAABDQxOTIEAAAAATAHAAAACjEyLzMxLzIwMjEIAAAACjEyLzMxLzIwMjEJAAAAATCIllas4bfbCOxZa6zht9sINENJUS5OQVNEQVE6TVlSRy5JUV9UT1RBTF9ERUJUX0VCSVREQS4xMDAwLjEyLzMxLzIwMjABAAAAmm0EAAIAAAAIMC4zNzIyNzEBCAAAAAUAAAABMQEAAAALLTIwNjAwNzA0ODYDAAAAAzE2MAIAAAAENDE5MgQAAAABMAcAAAAKMTIvMzEvMjAyMAgAAAAKMTIvMzEvMjAyMAkAAAABMIiWVqzht9sI7FlrrOG32wg0Q0lRLk5BU0RBUTpNWVJHLklRX1RPVEFMX0RFQlRfRUJJVERBLjEwMDAuMTIvMzEvMjAxOQEAAACabQQAAgAAAAgxLjgwMDc2NgEIAAAABQAAAAExAQAAAAstMjExMTI0MzY4NAMAAAADMTYwAgAAAAQ0MTkyBAAAAAEwBwAAAAoxMi8zMS8yMDE5CAAAAAoxMi8zMS8yMDE5CQAAAAEwar1WrOG32wjsWWus4bfbCDRDSVEuTkFTREFROk1ZUkcuSVFfVE9UQUxfREVCVF9FQklUREEuMTAwMC4xMi8zMS8yMDE4AQAAAJptBAACAAAABzEuMDY5ODIBCAAAAAUAAAABMQEAAAAKMjA4Mjg3MDYzMAMAAAADMTYwAgAAAAQ0MTkyBAAAAAEwBwAAAAoxMi8zMS8yMDE4CAAAAAoxMi8zMS8yMDE4CQAAAAEwar1WrOG32wjsWWus4bfbCDRDSVEuTkFTREFROk1ZUkcuSVFfVE9UQUxfREVCVF9FQklUREEuMTAwMC4xMi8zMS8yMDE3AQAAAJptBAAC</t>
  </si>
  <si>
    <t>AAAACDEuMjgyMzc5AQgAAAAFAAAAATEBAAAACjIwMTk1NDcxOTIDAAAAAzE2MAIAAAAENDE5MgQAAAABMAcAAAAKMTIvMzEvMjAxNwgAAAAKMTIvMzEvMjAxNwkAAAABMGq9Vqzht9sI7FlrrOG32wg0Q0lRLk5BU0RBUTpNWVJHLklRX1RPVEFMX0RFQlRfRUJJVERBLjEwMDAuMTIvMzAvMjAxNgEAAACabQQAAwAAAAAAar1WrOG32wjsWWus4bfbCDRDSVEuTkFTREFROk1ZUkcuSVFfVE9UQUxfREVCVF9FQklUREEuMTAwMC4xMi8zMS8yMDE1AQAAAJptBAADAAAAAABqvVas4bfbCOxZa6zht9sINENJUS5OQVNEQVE6TVlSRy5JUV9UT1RBTF9ERUJUX0VCSVREQS4xMDAwLjEyLzMxLzIwMTQBAAAAmm0EAAMAAAAAAGq9Vqzht9sI7FlrrOG32wg0Q0lRLk5BU0RBUTpNWVJHLklRX1RPVEFMX0RFQlRfRUJJVERBLjEwMDAuMTIvMzEvMjAxMwEAAACabQQAAwAAAAAAar1WrOG32wjsWWus4bfbCDFDSVEuTllTRTpNVFouSVFfVE9UQUxfREVCVF9FQklUREEuMTAwMC4xMi8zMS8yMDIyAQAAAFSeAgACAAAACDIuODI4Nzg1AQgAAAAFAAAAATEBAAAACy0yMDU2OTE5NDI2AwAAAAMxNjACAAAABDQxOTIEAAAAATAHAAAACjEyLzMxLzIwMjIIAAAACjEyLzMxLzIwMjIJAAAAATBqvVas4bfbCOxZa6zht9sIMUNJUS5OWVNFOk1UWi5JUV9UT1RBTF9ERUJUX0VCSVREQS4xMDAwLjEyLzMxLzIwMjEBAAAAVJ4CAAIAAAAI</t>
  </si>
  <si>
    <t>MS41NzgxNzUBCAAAAAUAAAABMQEAAAALLTIwNTY5MTk0MTkDAAAAAzE2MAIAAAAENDE5MgQAAAABMAcAAAAKMTIvMzEvMjAyMQgAAAAKMTIvMzEvMjAyMQkAAAABMGq9Vqzht9sI7FlrrOG32wgxQ0lRLk5ZU0U6TVRaLklRX1RPVEFMX0RFQlRfRUJJVERBLjEwMDAuMTIvMzEvMjAyMAEAAABUngIAAgAAAAgxLjI3MDUxMwEIAAAABQAAAAExAQAAAAstMjA1NjkxOTM5OAMAAAADMTYwAgAAAAQ0MTkyBAAAAAEwBwAAAAoxMi8zMS8yMDIwCAAAAAoxMi8zMS8yMDIwCQAAAAEwar1WrOG32wjsWWus4bfbCDFDSVEuTllTRTpNVFouSVFfVE9UQUxfREVCVF9FQklUREEuMTAwMC4xMi8zMS8yMDE5AQAAAFSeAgACAAAACDEuMjAwMTY3AQgAAAAFAAAAATEBAAAACy0yMTA5Njk4MTM3AwAAAAMxNjACAAAABDQxOTIEAAAAATAHAAAACjEyLzMxLzIwMTkIAAAACjEyLzMxLzIwMTkJAAAAATBqvVas4bfbCOxZa6zht9sIN0NJUS5OWVNFOk1UWi5JUV9SRVRVUk5fSU5WRVNURURfQ0FQSVRBTC4xMDAwLjEyLzMxLzIwMTMBAAAAVJ4CAAIAAAAGOC41NDU5AEQx2cPjt9sIQ5MgxuO32wg3Q0lRLk5ZU0U6UFdSLklRX1JFVFVSTl9JTlZFU1RFRF9DQVBJVEFMLjEwMDAuMTIvMzEvMjAyMAEAAADlggAAAgAAAAY3LjIzOTUAyWrsx+O32wjW+QLI47fbCDdDSVEuTllTRTpNVFouSVFfUkVUVVJOX0lOVkVTVEVEX0NBUElUQUwu</t>
  </si>
  <si>
    <t>MTAwMC4xMi8zMC8yMDE2AQAAAFSeAgACAAAABy0zLjczNDYAyWrsx+O32wjW+QLI47fbCDdDSVEuTllTRTpQV1IuSVFfUkVUVVJOX0lOVkVTVEVEX0NBUElUQUwuMTAwMC4xMi8zMS8yMDE5AQAAAOWCAAACAAAABjcuMjY5NwDJauzH47fbCNb5Asjjt9sIN0NJUS5OWVNFOk1UWi5JUV9SRVRVUk5fSU5WRVNURURfQ0FQSVRBTC4xMDAwLjEyLzMxLzIwMTUBAAAAVJ4CAAIAAAAHLTMuNzM0NgDJauzH47fbCNb5Asjjt9sIN0NJUS5OWVNFOlBXUi5JUV9SRVRVUk5fSU5WRVNURURfQ0FQSVRBTC4xMDAwLjEyLzMxLzIwMTgBAAAA5YIAAAIAAAAGNi4zOTE1AMlq7Mfjt9sI1vkCyOO32wg3Q0lRLk5ZU0U6TVRaLklRX1JFVFVSTl9JTlZFU1RFRF9DQVBJVEFMLjEwMDAuMTIvMzEvMjAxNAEAAABUngIAAgAAAAY1LjYyNjMAyWrsx+O32wjW+QLI47fbCDdDSVEuTllTRTpQV1IuSVFfUkVUVVJOX0lOVkVTVEVEX0NBUElUQUwuMTAwMC4xMi8zMS8yMDE3AQAAAOWCAAACAAAABjcuNzA5MgDJauzH47fbCNb5Asjjt9sIN0NJUS5OWVNFOlBXUi5JUV9SRVRVUk5fSU5WRVNURURfQ0FQSVRBTC4xMDAwLjEyLzMwLzIwMTYBAAAA5YIAAAIAAAAGNy42MDQyAMlq7Mfjt9sI1vkCyOO32wg3Q0lRLk5ZU0U6UFdSLklRX1JFVFVSTl9JTlZFU1RFRF9DQVBJVEFMLjEwMDAuMTIvMzEvMjAxNQEAAADlggAAAgAAAAY3LjYwNDIA</t>
  </si>
  <si>
    <t>yWrsx+O32wjW+QLI47fbCDdDSVEuTllTRTpQV1IuSVFfUkVUVVJOX0lOVkVTVEVEX0NBUElUQUwuMTAwMC4xMi8zMS8yMDE0AQAAAOWCAAACAAAABTYuNzA1AMlq7Mfjt9sI1vkCyOO32wg3Q0lRLk5ZU0U6UFdSLklRX1JFVFVSTl9JTlZFU1RFRF9DQVBJVEFMLjEwMDAuMTIvMzEvMjAxMwEAAADlggAAAgAAAAcxMC4wMjg2AMlq7Mfjt9sI1vkCyOO32wg6Q0lRLk5BU0RBUTpNWVJHLklRX1JFVFVSTl9JTlZFU1RFRF9DQVBJVEFMLjEwMDAuMTIvMzEvMjAyMgEAAACabQQAAgAAAAcxNC4xNDAxAMlq7Mfjt9sI1vkCyOO32wg6Q0lRLk5BU0RBUTpNWVJHLklRX1JFVFVSTl9JTlZFU1RFRF9DQVBJVEFMLjEwMDAuMTIvMzEvMjAyMQEAAACabQQAAgAAAAcxNi41NzE2AMlq7Mfjt9sI1vkCyOO32wg6Q0lRLk5BU0RBUTpNWVJHLklRX1JFVFVSTl9JTlZFU1RFRF9DQVBJVEFMLjEwMDAuMTIvMzEvMjAyMAEAAACabQQAAgAAAAcxMS4zNDA4AMlq7Mfjt9sI1vkCyOO32wg6Q0lRLk5BU0RBUTpNWVJHLklRX1JFVFVSTl9JTlZFU1RFRF9DQVBJVEFMLjEwMDAuMTIvMzEvMjAxOQEAAACabQQAAgAAAAY3Ljc1NzEAyWrsx+O32wjW+QLI47fbCDpDSVEuTkFTREFROk1ZUkcuSVFfUkVUVVJOX0lOVkVTVEVEX0NBUElUQUwuMTAwMC4xMi8zMS8yMDE4AQAAAJptBAACAAAABjcuOTA0MQDJauzH47fbCPPSAsjjt9sIOkNJ</t>
  </si>
  <si>
    <t>US5OQVNEQVE6TVlSRy5JUV9SRVRVUk5fSU5WRVNURURfQ0FQSVRBTC4xMDAwLjEyLzMxLzIwMTcBAAAAmm0EAAIAAAAFNi4wNzEAyWrsx+O32wjz0gLI47fbCDpDSVEuTkFTREFROk1ZUkcuSVFfUkVUVVJOX0lOVkVTVEVEX0NBUElUQUwuMTAwMC4xMi8zMC8yMDE2AQAAAJptBAACAAAABjguMzY5MgDJauzH47fbCNb5Asjjt9sIOkNJUS5OQVNEQVE6TVlSRy5JUV9SRVRVUk5fSU5WRVNURURfQ0FQSVRBTC4xMDAwLjEyLzMxLzIwMTUBAAAAmm0EAAIAAAAGOC4zNjkyAMlq7Mfjt9sI1vkCyOO32wg6Q0lRLk5BU0RBUTpNWVJHLklRX1JFVFVSTl9JTlZFU1RFRF9DQVBJVEFMLjEwMDAuMTIvMzEvMjAxNAEAAACabQQAAgAAAAcxMS44MTQyAMlq7Mfjt9sI1vkCyOO32wg6Q0lRLk5BU0RBUTpNWVJHLklRX1JFVFVSTl9JTlZFU1RFRF9DQVBJVEFMLjEwMDAuMTIvMzEvMjAxMwEAAACabQQAAgAAAAcxMi42MjE3ANmU7Mfjt9sI89ICyOO32wg3Q0lRLk5ZU0U6TVRaLklRX1JFVFVSTl9JTlZFU1RFRF9DQVBJVEFMLjEwMDAuMTIvMzEvMjAyMgEAAABUngIAAgAAAAYwLjYwMTcA2ZTsx+O32wjz0gLI47fbCDdDSVEuTllTRTpNVFouSVFfUkVUVVJOX0lOVkVTVEVEX0NBUElUQUwuMTAwMC4xMi8zMS8yMDIxAQAAAFSeAgACAAAABjcuODk3OADZlOzH47fbCPPSAsjjt9sIN0NJUS5OWVNFOk1UWi5JUV9SRVRVUk5f</t>
  </si>
  <si>
    <t>SU5WRVNURURfQ0FQSVRBTC4xMDAwLjEyLzMxLzIwMjABAAAAVJ4CAAIAAAAGOS4yODA1ANmU7Mfjt9sI89ICyOO32wg3Q0lRLk5ZU0U6TVRaLklRX1JFVFVSTl9JTlZFU1RFRF9DQVBJVEFMLjEwMDAuMTIvMzEvMjAxOQEAAABUngIAAgAAAAcxMi41MzYzANmU7Mfjt9sI89ICyOO32wg3Q0lRLk5ZU0U6UFdSLklRX1JFVFVSTl9JTlZFU1RFRF9DQVBJVEFMLjEwMDAuMTIvMzEvMjAyMgEAAADlggAAAgAAAAY0Ljg2NzkA2ZTsx+O32wjz0gLI47fbCDdDSVEuTllTRTpNVFouSVFfUkVUVVJOX0lOVkVTVEVEX0NBUElUQUwuMTAwMC4xMi8zMS8yMDE4AQAAAFSeAgACAAAABjkuMjcyMQDZlOzH47fbCPPSAsjjt9sIN0NJUS5OWVNFOlBXUi5JUV9SRVRVUk5fSU5WRVNURURfQ0FQSVRBTC4xMDAwLjEyLzMxLzIwMjEBAAAA5YIAAAIAAAAGNi4wNTc1ANmU7Mfjt9sI89ICyOO32wg3Q0lRLk5ZU0U6TVRaLklRX1JFVFVSTl9JTlZFU1RFRF9DQVBJVEFMLjEwMDAuMTIvMzEvMjAxNwEAAABUngIAAgAAAAcxNC4wODEzANmU7Mfjt9sI89ICyOO32w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</si>
</sst>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0.00_);[Red]\(&quot;$&quot;#,##0.00\)"/>
    <numFmt numFmtId="164" formatCode="0&quot;E&quot;"/>
    <numFmt numFmtId="165" formatCode="0&quot;A&quot;"/>
    <numFmt numFmtId="166" formatCode="#,##0_);\(#,##0\);\-;"/>
    <numFmt numFmtId="167" formatCode="#,##0.0_);\(#,##0.0\);\-"/>
    <numFmt numFmtId="168" formatCode="0.0%_);\(0.0%\);0.0%"/>
    <numFmt numFmtId="169" formatCode="0.0%_);\(0.0%\);0.0%_);"/>
    <numFmt numFmtId="170" formatCode="0.0\x"/>
    <numFmt numFmtId="171" formatCode="#,##0.000000000000000_);\(#,##0.000000000000000\);\-"/>
    <numFmt numFmtId="172" formatCode="&quot;$&quot;0.00"/>
    <numFmt numFmtId="173" formatCode="&quot;$&quot;#,##0.00"/>
    <numFmt numFmtId="174" formatCode="0.0"/>
    <numFmt numFmtId="175" formatCode="0.0%"/>
    <numFmt numFmtId="176" formatCode="#,##0.000_);\(#,##0.000\)"/>
    <numFmt numFmtId="177" formatCode="_([$$-409]* #,##0.00_);_([$$-409]* \(#,##0.00\);_([$$-409]* &quot;-&quot;??_);_(@_)"/>
    <numFmt numFmtId="178" formatCode="0.0%_);\(0.0%\);0.0%_;"/>
    <numFmt numFmtId="179" formatCode="0.0\x;;\-.\-\x"/>
  </numFmts>
  <fonts count="28" x14ac:knownFonts="1">
    <font>
      <sz val="11"/>
      <color theme="1"/>
      <name val="Calibri"/>
      <family val="2"/>
      <scheme val="minor"/>
    </font>
    <font>
      <sz val="12"/>
      <color theme="1"/>
      <name val="Garamond"/>
      <family val="1"/>
    </font>
    <font>
      <b/>
      <sz val="12"/>
      <color theme="1"/>
      <name val="Garamond"/>
      <family val="1"/>
    </font>
    <font>
      <sz val="12"/>
      <name val="Garamond"/>
      <family val="1"/>
    </font>
    <font>
      <b/>
      <sz val="12"/>
      <name val="Garamond"/>
      <family val="1"/>
    </font>
    <font>
      <b/>
      <sz val="14"/>
      <name val="Garamond"/>
      <family val="1"/>
    </font>
    <font>
      <i/>
      <sz val="12"/>
      <name val="Garamond"/>
      <family val="1"/>
    </font>
    <font>
      <i/>
      <sz val="12"/>
      <color theme="1"/>
      <name val="Garamond"/>
      <family val="1"/>
    </font>
    <font>
      <sz val="12"/>
      <color rgb="FF232A31"/>
      <name val="Garamond"/>
      <family val="1"/>
    </font>
    <font>
      <sz val="12"/>
      <color rgb="FF0000FF"/>
      <name val="Garamond"/>
      <family val="1"/>
    </font>
    <font>
      <sz val="12"/>
      <color theme="0"/>
      <name val="Garamond"/>
      <family val="1"/>
    </font>
    <font>
      <sz val="12"/>
      <color rgb="FF00FF00"/>
      <name val="Garamond"/>
      <family val="1"/>
    </font>
    <font>
      <i/>
      <sz val="12"/>
      <color rgb="FF00FF00"/>
      <name val="Garamond"/>
      <family val="1"/>
    </font>
    <font>
      <i/>
      <sz val="12"/>
      <color rgb="FF0000FF"/>
      <name val="Garamond"/>
      <family val="1"/>
    </font>
    <font>
      <b/>
      <i/>
      <u/>
      <sz val="12"/>
      <color theme="1"/>
      <name val="Garamond"/>
      <family val="1"/>
    </font>
    <font>
      <sz val="11"/>
      <color theme="1"/>
      <name val="Calibri"/>
      <family val="2"/>
      <scheme val="minor"/>
    </font>
    <font>
      <b/>
      <i/>
      <sz val="12"/>
      <name val="Garamond"/>
      <family val="1"/>
    </font>
    <font>
      <b/>
      <sz val="14"/>
      <color theme="1"/>
      <name val="Garamond"/>
      <family val="1"/>
    </font>
    <font>
      <b/>
      <i/>
      <sz val="12"/>
      <color theme="1"/>
      <name val="Garamond"/>
      <family val="1"/>
    </font>
    <font>
      <b/>
      <sz val="12"/>
      <color rgb="FF0000FF"/>
      <name val="Garamond"/>
      <family val="1"/>
    </font>
    <font>
      <sz val="9"/>
      <color indexed="81"/>
      <name val="Tahoma"/>
      <family val="2"/>
    </font>
    <font>
      <sz val="11"/>
      <color rgb="FF000000"/>
      <name val="Verdana"/>
      <family val="2"/>
    </font>
    <font>
      <b/>
      <i/>
      <sz val="12"/>
      <color rgb="FF0000FF"/>
      <name val="Garamond"/>
      <family val="1"/>
    </font>
    <font>
      <b/>
      <sz val="9"/>
      <color indexed="81"/>
      <name val="Tahoma"/>
      <family val="2"/>
    </font>
    <font>
      <b/>
      <sz val="18"/>
      <name val="Garamond"/>
      <family val="1"/>
    </font>
    <font>
      <b/>
      <sz val="12"/>
      <color theme="0"/>
      <name val="Garamond"/>
      <family val="1"/>
    </font>
    <font>
      <u/>
      <sz val="12"/>
      <color theme="1"/>
      <name val="Garamond"/>
      <family val="1"/>
    </font>
    <font>
      <sz val="8"/>
      <name val="Arial"/>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theme="7" tint="0.59999389629810485"/>
        <bgColor indexed="64"/>
      </patternFill>
    </fill>
    <fill>
      <patternFill patternType="solid">
        <fgColor theme="2"/>
        <bgColor indexed="64"/>
      </patternFill>
    </fill>
    <fill>
      <patternFill patternType="solid">
        <fgColor rgb="FF0018A8"/>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Dashed">
        <color rgb="FFFF0000"/>
      </left>
      <right style="mediumDashed">
        <color rgb="FFFF0000"/>
      </right>
      <top style="mediumDashed">
        <color rgb="FFFF0000"/>
      </top>
      <bottom style="mediumDashed">
        <color rgb="FFFF0000"/>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5" fillId="0" borderId="0" applyFont="0" applyFill="0" applyBorder="0" applyAlignment="0" applyProtection="0"/>
  </cellStyleXfs>
  <cellXfs count="413">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14" fontId="1" fillId="0" borderId="1" xfId="0" applyNumberFormat="1" applyFont="1" applyBorder="1" applyAlignment="1">
      <alignment horizontal="center"/>
    </xf>
    <xf numFmtId="0" fontId="3" fillId="0" borderId="0" xfId="0" applyFont="1"/>
    <xf numFmtId="0" fontId="4" fillId="0" borderId="0" xfId="0" applyFont="1"/>
    <xf numFmtId="0" fontId="5" fillId="0" borderId="0" xfId="0" applyFont="1" applyAlignment="1">
      <alignment vertical="center"/>
    </xf>
    <xf numFmtId="0" fontId="6" fillId="0" borderId="0" xfId="0" applyFont="1"/>
    <xf numFmtId="0" fontId="4" fillId="0" borderId="11" xfId="0" applyFont="1" applyBorder="1"/>
    <xf numFmtId="165" fontId="4" fillId="0" borderId="11" xfId="0" applyNumberFormat="1" applyFont="1" applyBorder="1"/>
    <xf numFmtId="164" fontId="4" fillId="0" borderId="11" xfId="0" applyNumberFormat="1" applyFont="1" applyBorder="1"/>
    <xf numFmtId="0" fontId="3" fillId="0" borderId="0" xfId="0" applyFont="1" applyAlignment="1">
      <alignment horizontal="left" indent="1"/>
    </xf>
    <xf numFmtId="0" fontId="4" fillId="0" borderId="9" xfId="0" applyFont="1" applyBorder="1"/>
    <xf numFmtId="0" fontId="4" fillId="0" borderId="6" xfId="0" applyFont="1" applyBorder="1"/>
    <xf numFmtId="0" fontId="3" fillId="0" borderId="6" xfId="0" applyFont="1" applyBorder="1"/>
    <xf numFmtId="0" fontId="6" fillId="0" borderId="12" xfId="0" applyFont="1" applyBorder="1"/>
    <xf numFmtId="0" fontId="4" fillId="0" borderId="0" xfId="0" applyFont="1" applyAlignment="1">
      <alignment vertical="center"/>
    </xf>
    <xf numFmtId="0" fontId="2" fillId="0" borderId="0" xfId="0" applyFont="1"/>
    <xf numFmtId="0" fontId="2" fillId="0" borderId="6" xfId="0" applyFont="1" applyBorder="1"/>
    <xf numFmtId="0" fontId="1" fillId="0" borderId="6" xfId="0" applyFont="1" applyBorder="1"/>
    <xf numFmtId="0" fontId="1" fillId="0" borderId="0" xfId="0" applyFont="1" applyAlignment="1">
      <alignment horizontal="left" indent="1"/>
    </xf>
    <xf numFmtId="0" fontId="1" fillId="0" borderId="7" xfId="0" applyFont="1" applyBorder="1"/>
    <xf numFmtId="0" fontId="1" fillId="0" borderId="9" xfId="0" applyFont="1" applyBorder="1"/>
    <xf numFmtId="0" fontId="1" fillId="0" borderId="9" xfId="0" applyFont="1" applyBorder="1" applyAlignment="1">
      <alignment horizontal="left" indent="1"/>
    </xf>
    <xf numFmtId="0" fontId="2" fillId="0" borderId="0" xfId="0" applyFont="1" applyAlignment="1">
      <alignment horizontal="center"/>
    </xf>
    <xf numFmtId="0" fontId="1" fillId="2" borderId="0" xfId="0" applyFont="1" applyFill="1"/>
    <xf numFmtId="0" fontId="1" fillId="2" borderId="0" xfId="0" applyFont="1" applyFill="1" applyAlignment="1">
      <alignment horizontal="left" indent="1"/>
    </xf>
    <xf numFmtId="0" fontId="2" fillId="0" borderId="15" xfId="0" applyFont="1" applyBorder="1"/>
    <xf numFmtId="0" fontId="1" fillId="0" borderId="16" xfId="0" applyFont="1" applyBorder="1"/>
    <xf numFmtId="0" fontId="1" fillId="0" borderId="18" xfId="0" applyFont="1" applyBorder="1" applyAlignment="1">
      <alignment horizontal="left" indent="1"/>
    </xf>
    <xf numFmtId="0" fontId="1" fillId="0" borderId="11" xfId="0" applyFont="1" applyBorder="1"/>
    <xf numFmtId="0" fontId="2" fillId="0" borderId="6" xfId="0" applyFont="1" applyBorder="1" applyAlignment="1">
      <alignment horizontal="left"/>
    </xf>
    <xf numFmtId="14" fontId="1" fillId="0" borderId="14" xfId="0" applyNumberFormat="1" applyFont="1" applyBorder="1" applyAlignment="1">
      <alignment horizontal="center"/>
    </xf>
    <xf numFmtId="168" fontId="1" fillId="0" borderId="13" xfId="0" applyNumberFormat="1" applyFont="1" applyBorder="1" applyAlignment="1">
      <alignment horizontal="center"/>
    </xf>
    <xf numFmtId="14" fontId="1" fillId="0" borderId="8" xfId="0" applyNumberFormat="1" applyFont="1" applyBorder="1" applyAlignment="1">
      <alignment horizontal="center"/>
    </xf>
    <xf numFmtId="168" fontId="1" fillId="0" borderId="9" xfId="0" applyNumberFormat="1" applyFont="1" applyBorder="1" applyAlignment="1">
      <alignment horizontal="center"/>
    </xf>
    <xf numFmtId="168" fontId="1" fillId="0" borderId="10" xfId="0" applyNumberFormat="1" applyFont="1" applyBorder="1" applyAlignment="1">
      <alignment horizontal="center"/>
    </xf>
    <xf numFmtId="0" fontId="6" fillId="0" borderId="0" xfId="0" applyFont="1" applyAlignment="1">
      <alignment horizontal="left" vertical="center"/>
    </xf>
    <xf numFmtId="0" fontId="4" fillId="0" borderId="0" xfId="0" applyFont="1" applyAlignment="1">
      <alignment horizontal="left"/>
    </xf>
    <xf numFmtId="0" fontId="3" fillId="2" borderId="0" xfId="0" applyFont="1" applyFill="1"/>
    <xf numFmtId="0" fontId="4" fillId="0" borderId="6" xfId="0" applyFont="1" applyBorder="1" applyAlignment="1">
      <alignment horizontal="left"/>
    </xf>
    <xf numFmtId="0" fontId="1" fillId="4" borderId="0" xfId="0" applyFont="1" applyFill="1" applyAlignment="1">
      <alignment horizontal="center"/>
    </xf>
    <xf numFmtId="8" fontId="9" fillId="0" borderId="1" xfId="0" applyNumberFormat="1" applyFont="1" applyBorder="1" applyAlignment="1">
      <alignment horizontal="center"/>
    </xf>
    <xf numFmtId="0" fontId="1" fillId="2" borderId="0" xfId="0" applyFont="1" applyFill="1" applyAlignment="1">
      <alignment horizontal="center"/>
    </xf>
    <xf numFmtId="0" fontId="10" fillId="0" borderId="0" xfId="0" applyFont="1" applyAlignment="1">
      <alignment horizontal="center"/>
    </xf>
    <xf numFmtId="0" fontId="10" fillId="2" borderId="0" xfId="0" applyFont="1" applyFill="1" applyAlignment="1">
      <alignment horizontal="center"/>
    </xf>
    <xf numFmtId="0" fontId="3" fillId="0" borderId="0" xfId="0" applyFont="1" applyAlignment="1">
      <alignment vertical="center"/>
    </xf>
    <xf numFmtId="0" fontId="4" fillId="0" borderId="11" xfId="0" applyFont="1" applyBorder="1" applyAlignment="1">
      <alignment vertical="center"/>
    </xf>
    <xf numFmtId="0" fontId="6" fillId="0" borderId="0" xfId="0" applyFont="1" applyAlignment="1">
      <alignment vertical="center"/>
    </xf>
    <xf numFmtId="167" fontId="9" fillId="0" borderId="0" xfId="0" applyNumberFormat="1" applyFont="1" applyAlignment="1">
      <alignment vertical="center"/>
    </xf>
    <xf numFmtId="167" fontId="9" fillId="0" borderId="13" xfId="0" applyNumberFormat="1" applyFont="1" applyBorder="1" applyAlignment="1">
      <alignment vertical="center"/>
    </xf>
    <xf numFmtId="0" fontId="6" fillId="0" borderId="12" xfId="0" applyFont="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2" fillId="0" borderId="0" xfId="0" applyFont="1" applyAlignment="1">
      <alignment vertical="center"/>
    </xf>
    <xf numFmtId="3" fontId="1" fillId="0" borderId="0" xfId="0" applyNumberFormat="1" applyFont="1" applyAlignment="1">
      <alignment vertical="center"/>
    </xf>
    <xf numFmtId="0" fontId="2" fillId="0" borderId="6" xfId="0" applyFont="1" applyBorder="1" applyAlignment="1">
      <alignment vertical="center"/>
    </xf>
    <xf numFmtId="167" fontId="2" fillId="0" borderId="6" xfId="0" applyNumberFormat="1" applyFont="1" applyBorder="1" applyAlignment="1">
      <alignment vertical="center"/>
    </xf>
    <xf numFmtId="167" fontId="2" fillId="0" borderId="7" xfId="0" applyNumberFormat="1" applyFont="1" applyBorder="1" applyAlignment="1">
      <alignment vertical="center"/>
    </xf>
    <xf numFmtId="0" fontId="1" fillId="0" borderId="0" xfId="0" applyFont="1" applyAlignment="1">
      <alignment horizontal="left" vertical="center" indent="1"/>
    </xf>
    <xf numFmtId="0" fontId="2" fillId="0" borderId="6" xfId="0" applyFont="1" applyBorder="1" applyAlignment="1">
      <alignment horizontal="left" vertical="center"/>
    </xf>
    <xf numFmtId="167" fontId="9" fillId="2" borderId="0" xfId="0" applyNumberFormat="1"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xf>
    <xf numFmtId="0" fontId="1" fillId="2" borderId="0" xfId="0" applyFont="1" applyFill="1" applyAlignment="1">
      <alignment vertical="center"/>
    </xf>
    <xf numFmtId="3" fontId="1" fillId="2" borderId="0" xfId="0" applyNumberFormat="1" applyFont="1" applyFill="1" applyAlignment="1">
      <alignment vertical="center"/>
    </xf>
    <xf numFmtId="3" fontId="2" fillId="0" borderId="0" xfId="0" applyNumberFormat="1" applyFont="1" applyAlignment="1">
      <alignment vertical="center"/>
    </xf>
    <xf numFmtId="0" fontId="5" fillId="2" borderId="0" xfId="0" applyFont="1" applyFill="1" applyAlignment="1">
      <alignment vertical="center"/>
    </xf>
    <xf numFmtId="0" fontId="4"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4" fillId="2" borderId="0" xfId="0" applyFont="1" applyFill="1" applyAlignment="1">
      <alignment vertical="center"/>
    </xf>
    <xf numFmtId="167" fontId="4" fillId="2" borderId="0" xfId="0" applyNumberFormat="1" applyFont="1" applyFill="1" applyAlignment="1">
      <alignment vertical="center"/>
    </xf>
    <xf numFmtId="167" fontId="4" fillId="2" borderId="13" xfId="0" applyNumberFormat="1" applyFont="1" applyFill="1" applyBorder="1" applyAlignment="1">
      <alignment vertical="center"/>
    </xf>
    <xf numFmtId="167" fontId="9" fillId="2" borderId="13" xfId="0" applyNumberFormat="1" applyFont="1" applyFill="1" applyBorder="1" applyAlignment="1">
      <alignment vertical="center"/>
    </xf>
    <xf numFmtId="167" fontId="3" fillId="2" borderId="0" xfId="0" applyNumberFormat="1" applyFont="1" applyFill="1" applyAlignment="1">
      <alignment vertical="center"/>
    </xf>
    <xf numFmtId="0" fontId="4" fillId="2" borderId="6" xfId="0" applyFont="1" applyFill="1" applyBorder="1" applyAlignment="1">
      <alignment vertical="center"/>
    </xf>
    <xf numFmtId="167" fontId="4" fillId="2" borderId="6" xfId="0" applyNumberFormat="1" applyFont="1" applyFill="1" applyBorder="1" applyAlignment="1">
      <alignment vertical="center"/>
    </xf>
    <xf numFmtId="167" fontId="4" fillId="2" borderId="7" xfId="0" applyNumberFormat="1" applyFont="1" applyFill="1" applyBorder="1" applyAlignment="1">
      <alignment vertical="center"/>
    </xf>
    <xf numFmtId="0" fontId="3" fillId="2" borderId="0" xfId="0" applyFont="1" applyFill="1" applyAlignment="1">
      <alignment horizontal="left" vertical="center" indent="1"/>
    </xf>
    <xf numFmtId="0" fontId="1" fillId="0" borderId="13" xfId="0" applyFont="1" applyBorder="1"/>
    <xf numFmtId="167" fontId="9" fillId="0" borderId="0" xfId="0" applyNumberFormat="1" applyFont="1"/>
    <xf numFmtId="167" fontId="9" fillId="0" borderId="13" xfId="0" applyNumberFormat="1" applyFont="1" applyBorder="1"/>
    <xf numFmtId="167" fontId="1" fillId="0" borderId="0" xfId="0" applyNumberFormat="1" applyFont="1"/>
    <xf numFmtId="167" fontId="2" fillId="0" borderId="6" xfId="0" applyNumberFormat="1" applyFont="1" applyBorder="1"/>
    <xf numFmtId="167" fontId="2" fillId="0" borderId="7" xfId="0" applyNumberFormat="1" applyFont="1" applyBorder="1"/>
    <xf numFmtId="167" fontId="1" fillId="0" borderId="13" xfId="0" applyNumberFormat="1" applyFont="1" applyBorder="1"/>
    <xf numFmtId="0" fontId="7" fillId="0" borderId="2" xfId="0" applyFont="1" applyBorder="1"/>
    <xf numFmtId="3" fontId="2" fillId="2" borderId="0" xfId="0" applyNumberFormat="1" applyFont="1" applyFill="1" applyAlignment="1">
      <alignment vertical="center"/>
    </xf>
    <xf numFmtId="167" fontId="9" fillId="0" borderId="10" xfId="0" applyNumberFormat="1" applyFont="1" applyBorder="1" applyAlignment="1">
      <alignment vertical="center"/>
    </xf>
    <xf numFmtId="0" fontId="1" fillId="0" borderId="6" xfId="0" applyFont="1" applyBorder="1" applyAlignment="1">
      <alignment vertical="center"/>
    </xf>
    <xf numFmtId="0" fontId="3" fillId="0" borderId="0" xfId="0" applyFont="1" applyAlignment="1">
      <alignment horizontal="center"/>
    </xf>
    <xf numFmtId="167" fontId="4" fillId="2" borderId="14" xfId="0" applyNumberFormat="1" applyFont="1" applyFill="1" applyBorder="1" applyAlignment="1">
      <alignment vertical="center"/>
    </xf>
    <xf numFmtId="167" fontId="4" fillId="2" borderId="5" xfId="0" applyNumberFormat="1" applyFont="1" applyFill="1" applyBorder="1" applyAlignment="1">
      <alignment vertical="center"/>
    </xf>
    <xf numFmtId="165" fontId="4" fillId="0" borderId="21" xfId="0" applyNumberFormat="1" applyFont="1" applyBorder="1"/>
    <xf numFmtId="167" fontId="11" fillId="0" borderId="0" xfId="0" applyNumberFormat="1" applyFont="1"/>
    <xf numFmtId="167" fontId="11" fillId="0" borderId="13" xfId="0" applyNumberFormat="1" applyFont="1" applyBorder="1"/>
    <xf numFmtId="167" fontId="1" fillId="0" borderId="16" xfId="0" applyNumberFormat="1" applyFont="1" applyBorder="1"/>
    <xf numFmtId="167" fontId="1" fillId="0" borderId="17" xfId="0" applyNumberFormat="1" applyFont="1" applyBorder="1"/>
    <xf numFmtId="167" fontId="1" fillId="0" borderId="11" xfId="0" applyNumberFormat="1" applyFont="1" applyBorder="1"/>
    <xf numFmtId="167" fontId="1" fillId="0" borderId="19" xfId="0" applyNumberFormat="1" applyFont="1" applyBorder="1"/>
    <xf numFmtId="167" fontId="3" fillId="0" borderId="0" xfId="0" applyNumberFormat="1" applyFont="1"/>
    <xf numFmtId="0" fontId="7" fillId="0" borderId="5" xfId="0" applyFont="1" applyBorder="1" applyAlignment="1">
      <alignment horizontal="left" indent="1"/>
    </xf>
    <xf numFmtId="169" fontId="7" fillId="0" borderId="6" xfId="0" applyNumberFormat="1" applyFont="1" applyBorder="1"/>
    <xf numFmtId="169" fontId="7" fillId="0" borderId="7" xfId="0" applyNumberFormat="1" applyFont="1" applyBorder="1"/>
    <xf numFmtId="0" fontId="7" fillId="0" borderId="14" xfId="0" applyFont="1" applyBorder="1" applyAlignment="1">
      <alignment horizontal="left" indent="1"/>
    </xf>
    <xf numFmtId="169" fontId="7" fillId="0" borderId="0" xfId="0" applyNumberFormat="1" applyFont="1"/>
    <xf numFmtId="169" fontId="7" fillId="0" borderId="13" xfId="0" applyNumberFormat="1" applyFont="1" applyBorder="1"/>
    <xf numFmtId="0" fontId="7" fillId="0" borderId="8" xfId="0" applyFont="1" applyBorder="1" applyAlignment="1">
      <alignment horizontal="left" indent="1"/>
    </xf>
    <xf numFmtId="169" fontId="7" fillId="0" borderId="9" xfId="0" applyNumberFormat="1" applyFont="1" applyBorder="1"/>
    <xf numFmtId="169" fontId="7" fillId="0" borderId="10" xfId="0" applyNumberFormat="1" applyFont="1" applyBorder="1"/>
    <xf numFmtId="0" fontId="2" fillId="0" borderId="5" xfId="0" applyFont="1" applyBorder="1"/>
    <xf numFmtId="0" fontId="1" fillId="0" borderId="14" xfId="0" applyFont="1" applyBorder="1" applyAlignment="1">
      <alignment horizontal="left" indent="1"/>
    </xf>
    <xf numFmtId="0" fontId="1" fillId="0" borderId="8" xfId="0" applyFont="1" applyBorder="1" applyAlignment="1">
      <alignment horizontal="left" indent="1"/>
    </xf>
    <xf numFmtId="167" fontId="9" fillId="0" borderId="6" xfId="0" applyNumberFormat="1" applyFont="1" applyBorder="1"/>
    <xf numFmtId="167" fontId="9" fillId="0" borderId="7" xfId="0" applyNumberFormat="1" applyFont="1" applyBorder="1"/>
    <xf numFmtId="167" fontId="3" fillId="0" borderId="13" xfId="0" applyNumberFormat="1" applyFont="1" applyBorder="1"/>
    <xf numFmtId="167" fontId="3" fillId="0" borderId="9" xfId="0" applyNumberFormat="1" applyFont="1" applyBorder="1"/>
    <xf numFmtId="167" fontId="3" fillId="0" borderId="10" xfId="0" applyNumberFormat="1" applyFont="1" applyBorder="1"/>
    <xf numFmtId="167" fontId="3" fillId="0" borderId="6" xfId="0" applyNumberFormat="1" applyFont="1" applyBorder="1"/>
    <xf numFmtId="167" fontId="3" fillId="0" borderId="7" xfId="0" applyNumberFormat="1" applyFont="1" applyBorder="1"/>
    <xf numFmtId="167" fontId="1" fillId="0" borderId="12" xfId="0" applyNumberFormat="1" applyFont="1" applyBorder="1"/>
    <xf numFmtId="167" fontId="1" fillId="0" borderId="21" xfId="0" applyNumberFormat="1" applyFont="1" applyBorder="1"/>
    <xf numFmtId="0" fontId="6" fillId="0" borderId="13" xfId="0" applyFont="1" applyBorder="1"/>
    <xf numFmtId="167" fontId="2" fillId="0" borderId="0" xfId="0" applyNumberFormat="1" applyFont="1"/>
    <xf numFmtId="167" fontId="11" fillId="0" borderId="14" xfId="0" applyNumberFormat="1" applyFont="1" applyBorder="1"/>
    <xf numFmtId="167" fontId="11" fillId="0" borderId="8" xfId="0" applyNumberFormat="1" applyFont="1" applyBorder="1"/>
    <xf numFmtId="167" fontId="11" fillId="0" borderId="9" xfId="0" applyNumberFormat="1" applyFont="1" applyBorder="1"/>
    <xf numFmtId="169" fontId="12" fillId="0" borderId="0" xfId="0" applyNumberFormat="1" applyFont="1"/>
    <xf numFmtId="169" fontId="12" fillId="0" borderId="9" xfId="0" applyNumberFormat="1" applyFont="1" applyBorder="1"/>
    <xf numFmtId="169" fontId="12" fillId="0" borderId="10" xfId="0" applyNumberFormat="1" applyFont="1" applyBorder="1"/>
    <xf numFmtId="167" fontId="2" fillId="0" borderId="5" xfId="0" applyNumberFormat="1" applyFont="1" applyBorder="1"/>
    <xf numFmtId="167" fontId="4" fillId="0" borderId="6" xfId="0" applyNumberFormat="1" applyFont="1" applyBorder="1"/>
    <xf numFmtId="167" fontId="4" fillId="0" borderId="7" xfId="0" applyNumberFormat="1" applyFont="1" applyBorder="1"/>
    <xf numFmtId="167" fontId="4" fillId="0" borderId="5" xfId="0" applyNumberFormat="1" applyFont="1" applyBorder="1"/>
    <xf numFmtId="169" fontId="6" fillId="0" borderId="6" xfId="0" applyNumberFormat="1" applyFont="1" applyBorder="1"/>
    <xf numFmtId="169" fontId="6" fillId="0" borderId="7" xfId="0" applyNumberFormat="1" applyFont="1" applyBorder="1"/>
    <xf numFmtId="169" fontId="6" fillId="0" borderId="0" xfId="0" applyNumberFormat="1" applyFont="1"/>
    <xf numFmtId="169" fontId="6" fillId="0" borderId="13" xfId="0" applyNumberFormat="1" applyFont="1" applyBorder="1"/>
    <xf numFmtId="169" fontId="6" fillId="0" borderId="9" xfId="0" applyNumberFormat="1" applyFont="1" applyBorder="1"/>
    <xf numFmtId="169" fontId="6" fillId="0" borderId="10" xfId="0" applyNumberFormat="1" applyFont="1" applyBorder="1"/>
    <xf numFmtId="169" fontId="12" fillId="0" borderId="6" xfId="0" applyNumberFormat="1" applyFont="1" applyBorder="1"/>
    <xf numFmtId="0" fontId="1" fillId="2" borderId="13" xfId="0" applyFont="1" applyFill="1" applyBorder="1"/>
    <xf numFmtId="169" fontId="12" fillId="0" borderId="7" xfId="0" applyNumberFormat="1" applyFont="1" applyBorder="1"/>
    <xf numFmtId="169" fontId="6" fillId="0" borderId="14" xfId="0" applyNumberFormat="1" applyFont="1" applyBorder="1"/>
    <xf numFmtId="169" fontId="6" fillId="0" borderId="5" xfId="0" applyNumberFormat="1" applyFont="1" applyBorder="1"/>
    <xf numFmtId="169" fontId="6" fillId="0" borderId="8" xfId="0" applyNumberFormat="1" applyFont="1" applyBorder="1"/>
    <xf numFmtId="0" fontId="1" fillId="0" borderId="0" xfId="0" applyFont="1" applyAlignment="1">
      <alignment horizontal="left"/>
    </xf>
    <xf numFmtId="0" fontId="7" fillId="0" borderId="5" xfId="0" applyFont="1" applyBorder="1"/>
    <xf numFmtId="0" fontId="7" fillId="0" borderId="6" xfId="0" applyFont="1" applyBorder="1"/>
    <xf numFmtId="0" fontId="7" fillId="0" borderId="14" xfId="0" applyFont="1" applyBorder="1"/>
    <xf numFmtId="0" fontId="7" fillId="0" borderId="0" xfId="0" applyFont="1"/>
    <xf numFmtId="0" fontId="7" fillId="0" borderId="8" xfId="0" applyFont="1" applyBorder="1"/>
    <xf numFmtId="0" fontId="7" fillId="0" borderId="9" xfId="0" applyFont="1" applyBorder="1"/>
    <xf numFmtId="0" fontId="7" fillId="0" borderId="5" xfId="0" applyFont="1" applyBorder="1" applyAlignment="1">
      <alignment horizontal="left"/>
    </xf>
    <xf numFmtId="0" fontId="7" fillId="0" borderId="14" xfId="0" applyFont="1" applyBorder="1" applyAlignment="1">
      <alignment horizontal="left"/>
    </xf>
    <xf numFmtId="0" fontId="7" fillId="0" borderId="8" xfId="0" applyFont="1" applyBorder="1" applyAlignment="1">
      <alignment horizontal="left"/>
    </xf>
    <xf numFmtId="0" fontId="1" fillId="0" borderId="3" xfId="0" applyFont="1" applyBorder="1"/>
    <xf numFmtId="169" fontId="12" fillId="0" borderId="3" xfId="0" applyNumberFormat="1" applyFont="1" applyBorder="1"/>
    <xf numFmtId="169" fontId="12" fillId="0" borderId="4" xfId="0" applyNumberFormat="1" applyFont="1" applyBorder="1"/>
    <xf numFmtId="169" fontId="6" fillId="0" borderId="3" xfId="0" applyNumberFormat="1" applyFont="1" applyBorder="1"/>
    <xf numFmtId="169" fontId="6" fillId="0" borderId="4" xfId="0" applyNumberFormat="1" applyFont="1" applyBorder="1"/>
    <xf numFmtId="0" fontId="6" fillId="0" borderId="0" xfId="0" applyFont="1" applyAlignment="1">
      <alignment horizontal="center"/>
    </xf>
    <xf numFmtId="169" fontId="6" fillId="0" borderId="1" xfId="0" applyNumberFormat="1" applyFont="1" applyBorder="1" applyAlignment="1">
      <alignment horizontal="center"/>
    </xf>
    <xf numFmtId="167" fontId="11" fillId="2" borderId="0" xfId="0" applyNumberFormat="1" applyFont="1" applyFill="1" applyAlignment="1">
      <alignment vertical="center"/>
    </xf>
    <xf numFmtId="167" fontId="11" fillId="0" borderId="10" xfId="0" applyNumberFormat="1" applyFont="1" applyBorder="1"/>
    <xf numFmtId="167" fontId="2" fillId="0" borderId="13" xfId="0" applyNumberFormat="1" applyFont="1" applyBorder="1"/>
    <xf numFmtId="170" fontId="2" fillId="0" borderId="6" xfId="0" applyNumberFormat="1" applyFont="1" applyBorder="1"/>
    <xf numFmtId="170" fontId="2" fillId="0" borderId="7" xfId="0" applyNumberFormat="1" applyFont="1" applyBorder="1"/>
    <xf numFmtId="167" fontId="11" fillId="2" borderId="14" xfId="0" applyNumberFormat="1" applyFont="1" applyFill="1" applyBorder="1" applyAlignment="1">
      <alignment vertical="center"/>
    </xf>
    <xf numFmtId="0" fontId="2" fillId="0" borderId="0" xfId="0" applyFont="1" applyAlignment="1">
      <alignment horizontal="centerContinuous"/>
    </xf>
    <xf numFmtId="169" fontId="3" fillId="0" borderId="0" xfId="0" applyNumberFormat="1" applyFont="1" applyAlignment="1">
      <alignment horizontal="centerContinuous"/>
    </xf>
    <xf numFmtId="0" fontId="1" fillId="0" borderId="0" xfId="0" applyFont="1" applyAlignment="1">
      <alignment horizontal="centerContinuous"/>
    </xf>
    <xf numFmtId="169" fontId="4" fillId="0" borderId="6" xfId="0" applyNumberFormat="1" applyFont="1" applyBorder="1" applyAlignment="1">
      <alignment horizontal="centerContinuous"/>
    </xf>
    <xf numFmtId="0" fontId="2" fillId="0" borderId="6" xfId="0" applyFont="1" applyBorder="1" applyAlignment="1">
      <alignment horizontal="centerContinuous"/>
    </xf>
    <xf numFmtId="167" fontId="1" fillId="0" borderId="0" xfId="0" applyNumberFormat="1" applyFont="1" applyAlignment="1">
      <alignment horizontal="center"/>
    </xf>
    <xf numFmtId="169" fontId="3" fillId="0" borderId="0" xfId="0" applyNumberFormat="1" applyFont="1" applyAlignment="1">
      <alignment horizontal="center"/>
    </xf>
    <xf numFmtId="167" fontId="2" fillId="0" borderId="6" xfId="0" applyNumberFormat="1" applyFont="1" applyBorder="1" applyAlignment="1">
      <alignment horizontal="center"/>
    </xf>
    <xf numFmtId="169" fontId="4" fillId="0" borderId="6" xfId="0" applyNumberFormat="1" applyFont="1" applyBorder="1" applyAlignment="1">
      <alignment horizontal="center"/>
    </xf>
    <xf numFmtId="169" fontId="13" fillId="0" borderId="0" xfId="0" applyNumberFormat="1" applyFont="1"/>
    <xf numFmtId="169" fontId="13" fillId="0" borderId="6" xfId="0" applyNumberFormat="1" applyFont="1" applyBorder="1"/>
    <xf numFmtId="0" fontId="14" fillId="0" borderId="0" xfId="0" applyFont="1" applyAlignment="1">
      <alignment horizontal="left"/>
    </xf>
    <xf numFmtId="0" fontId="2" fillId="0" borderId="13" xfId="0" applyFont="1" applyBorder="1"/>
    <xf numFmtId="0" fontId="6" fillId="2" borderId="0" xfId="0" applyFont="1" applyFill="1" applyAlignment="1">
      <alignment horizontal="left" vertical="center" indent="1"/>
    </xf>
    <xf numFmtId="169" fontId="7" fillId="0" borderId="5" xfId="0" applyNumberFormat="1" applyFont="1" applyBorder="1"/>
    <xf numFmtId="169" fontId="7" fillId="0" borderId="14" xfId="0" applyNumberFormat="1" applyFont="1" applyBorder="1"/>
    <xf numFmtId="169" fontId="7" fillId="0" borderId="8" xfId="0" applyNumberFormat="1" applyFont="1" applyBorder="1"/>
    <xf numFmtId="167" fontId="3" fillId="0" borderId="14" xfId="0" applyNumberFormat="1" applyFont="1" applyBorder="1"/>
    <xf numFmtId="0" fontId="2" fillId="0" borderId="0" xfId="0" applyFont="1" applyAlignment="1">
      <alignment horizontal="left" vertical="center"/>
    </xf>
    <xf numFmtId="167" fontId="2" fillId="0" borderId="0" xfId="0" applyNumberFormat="1" applyFont="1" applyAlignment="1">
      <alignment vertical="center"/>
    </xf>
    <xf numFmtId="167" fontId="2" fillId="0" borderId="13" xfId="0" applyNumberFormat="1" applyFont="1" applyBorder="1" applyAlignment="1">
      <alignment vertical="center"/>
    </xf>
    <xf numFmtId="0" fontId="2" fillId="2" borderId="0" xfId="0" applyFont="1" applyFill="1" applyAlignment="1">
      <alignment vertical="center"/>
    </xf>
    <xf numFmtId="0" fontId="4" fillId="0" borderId="11" xfId="0" applyFont="1" applyBorder="1" applyAlignment="1">
      <alignment horizontal="center"/>
    </xf>
    <xf numFmtId="167" fontId="2" fillId="2" borderId="6" xfId="0" applyNumberFormat="1" applyFont="1" applyFill="1" applyBorder="1" applyAlignment="1">
      <alignment vertical="center"/>
    </xf>
    <xf numFmtId="167" fontId="2" fillId="2" borderId="0" xfId="0" applyNumberFormat="1" applyFont="1" applyFill="1" applyAlignment="1">
      <alignment vertical="center"/>
    </xf>
    <xf numFmtId="167" fontId="1" fillId="2" borderId="0" xfId="0" applyNumberFormat="1" applyFont="1" applyFill="1" applyAlignment="1">
      <alignment vertical="center"/>
    </xf>
    <xf numFmtId="169" fontId="6" fillId="0" borderId="1" xfId="0" applyNumberFormat="1" applyFont="1" applyBorder="1"/>
    <xf numFmtId="0" fontId="2" fillId="0" borderId="11" xfId="0" applyFont="1" applyBorder="1" applyAlignment="1">
      <alignment horizontal="center"/>
    </xf>
    <xf numFmtId="0" fontId="16" fillId="0" borderId="0" xfId="0" applyFont="1"/>
    <xf numFmtId="172" fontId="9" fillId="0" borderId="0" xfId="0" applyNumberFormat="1" applyFont="1" applyAlignment="1">
      <alignment horizontal="center"/>
    </xf>
    <xf numFmtId="0" fontId="9" fillId="0" borderId="0" xfId="0" applyFont="1" applyAlignment="1">
      <alignment horizontal="center"/>
    </xf>
    <xf numFmtId="173" fontId="9" fillId="0" borderId="0" xfId="0" applyNumberFormat="1" applyFont="1" applyAlignment="1">
      <alignment horizontal="center"/>
    </xf>
    <xf numFmtId="173" fontId="3" fillId="0" borderId="0" xfId="0" applyNumberFormat="1" applyFont="1" applyAlignment="1">
      <alignment horizontal="center"/>
    </xf>
    <xf numFmtId="167" fontId="9" fillId="0" borderId="0" xfId="0" applyNumberFormat="1" applyFont="1" applyAlignment="1">
      <alignment horizontal="center"/>
    </xf>
    <xf numFmtId="0" fontId="2" fillId="0" borderId="0" xfId="0" applyFont="1" applyAlignment="1">
      <alignment horizontal="left"/>
    </xf>
    <xf numFmtId="0" fontId="2" fillId="0" borderId="11" xfId="0" applyFont="1" applyBorder="1" applyAlignment="1">
      <alignment horizontal="left"/>
    </xf>
    <xf numFmtId="167" fontId="11" fillId="0" borderId="0" xfId="0" applyNumberFormat="1" applyFont="1" applyAlignment="1">
      <alignment horizontal="center"/>
    </xf>
    <xf numFmtId="170" fontId="1" fillId="0" borderId="0" xfId="0" applyNumberFormat="1" applyFont="1" applyAlignment="1">
      <alignment horizontal="center"/>
    </xf>
    <xf numFmtId="0" fontId="1" fillId="0" borderId="5" xfId="0" applyFont="1" applyBorder="1"/>
    <xf numFmtId="172" fontId="3" fillId="0" borderId="6" xfId="0" applyNumberFormat="1" applyFont="1" applyBorder="1" applyAlignment="1">
      <alignment horizontal="center"/>
    </xf>
    <xf numFmtId="0" fontId="3" fillId="0" borderId="6" xfId="0" applyFont="1" applyBorder="1" applyAlignment="1">
      <alignment horizontal="center"/>
    </xf>
    <xf numFmtId="173" fontId="3" fillId="0" borderId="6" xfId="0" applyNumberFormat="1" applyFont="1" applyBorder="1" applyAlignment="1">
      <alignment horizontal="center"/>
    </xf>
    <xf numFmtId="167" fontId="3" fillId="0" borderId="6" xfId="0" applyNumberFormat="1" applyFont="1" applyBorder="1" applyAlignment="1">
      <alignment horizontal="center"/>
    </xf>
    <xf numFmtId="170" fontId="3" fillId="0" borderId="6" xfId="0" applyNumberFormat="1" applyFont="1" applyBorder="1" applyAlignment="1">
      <alignment horizontal="center"/>
    </xf>
    <xf numFmtId="170" fontId="3" fillId="0" borderId="7" xfId="0" applyNumberFormat="1" applyFont="1" applyBorder="1" applyAlignment="1">
      <alignment horizontal="center"/>
    </xf>
    <xf numFmtId="0" fontId="1" fillId="0" borderId="14" xfId="0" applyFont="1" applyBorder="1"/>
    <xf numFmtId="172" fontId="3" fillId="0" borderId="0" xfId="0" applyNumberFormat="1" applyFont="1" applyAlignment="1">
      <alignment horizontal="center"/>
    </xf>
    <xf numFmtId="167" fontId="3" fillId="0" borderId="0" xfId="0" applyNumberFormat="1" applyFont="1" applyAlignment="1">
      <alignment horizontal="center"/>
    </xf>
    <xf numFmtId="170" fontId="3" fillId="0" borderId="0" xfId="0" applyNumberFormat="1" applyFont="1" applyAlignment="1">
      <alignment horizontal="center"/>
    </xf>
    <xf numFmtId="170" fontId="3" fillId="0" borderId="13" xfId="0" applyNumberFormat="1" applyFont="1" applyBorder="1" applyAlignment="1">
      <alignment horizontal="center"/>
    </xf>
    <xf numFmtId="0" fontId="1" fillId="0" borderId="8" xfId="0" applyFont="1" applyBorder="1"/>
    <xf numFmtId="172" fontId="3" fillId="0" borderId="9" xfId="0" applyNumberFormat="1" applyFont="1" applyBorder="1" applyAlignment="1">
      <alignment horizontal="center"/>
    </xf>
    <xf numFmtId="0" fontId="3" fillId="0" borderId="9" xfId="0" applyFont="1" applyBorder="1" applyAlignment="1">
      <alignment horizontal="center"/>
    </xf>
    <xf numFmtId="173" fontId="3" fillId="0" borderId="9" xfId="0" applyNumberFormat="1" applyFont="1" applyBorder="1" applyAlignment="1">
      <alignment horizontal="center"/>
    </xf>
    <xf numFmtId="167" fontId="3" fillId="0" borderId="9" xfId="0" applyNumberFormat="1" applyFont="1" applyBorder="1" applyAlignment="1">
      <alignment horizontal="center"/>
    </xf>
    <xf numFmtId="170" fontId="3" fillId="0" borderId="9" xfId="0" applyNumberFormat="1" applyFont="1" applyBorder="1" applyAlignment="1">
      <alignment horizontal="center"/>
    </xf>
    <xf numFmtId="170" fontId="3" fillId="0" borderId="10" xfId="0" applyNumberFormat="1" applyFont="1" applyBorder="1" applyAlignment="1">
      <alignment horizontal="center"/>
    </xf>
    <xf numFmtId="0" fontId="9" fillId="0" borderId="0" xfId="0" applyFont="1" applyAlignment="1">
      <alignment horizontal="left"/>
    </xf>
    <xf numFmtId="170" fontId="1" fillId="0" borderId="0" xfId="0" applyNumberFormat="1" applyFont="1"/>
    <xf numFmtId="169" fontId="1" fillId="0" borderId="0" xfId="0" applyNumberFormat="1" applyFont="1" applyAlignment="1">
      <alignment horizontal="center"/>
    </xf>
    <xf numFmtId="169" fontId="3" fillId="0" borderId="6" xfId="0" applyNumberFormat="1" applyFont="1" applyBorder="1" applyAlignment="1">
      <alignment horizontal="center"/>
    </xf>
    <xf numFmtId="169" fontId="3" fillId="0" borderId="9" xfId="0" applyNumberFormat="1" applyFont="1" applyBorder="1" applyAlignment="1">
      <alignment horizontal="center"/>
    </xf>
    <xf numFmtId="172" fontId="4" fillId="0" borderId="6" xfId="0" applyNumberFormat="1" applyFont="1" applyBorder="1" applyAlignment="1">
      <alignment horizontal="right"/>
    </xf>
    <xf numFmtId="169" fontId="6" fillId="0" borderId="0" xfId="0" applyNumberFormat="1" applyFont="1" applyAlignment="1">
      <alignment horizontal="right"/>
    </xf>
    <xf numFmtId="0" fontId="2" fillId="0" borderId="11" xfId="0" applyFont="1" applyBorder="1" applyAlignment="1">
      <alignment horizontal="centerContinuous"/>
    </xf>
    <xf numFmtId="0" fontId="1" fillId="0" borderId="11" xfId="0" applyFont="1" applyBorder="1" applyAlignment="1">
      <alignment horizontal="centerContinuous"/>
    </xf>
    <xf numFmtId="172" fontId="1" fillId="0" borderId="0" xfId="0" applyNumberFormat="1" applyFont="1" applyAlignment="1">
      <alignment horizontal="center"/>
    </xf>
    <xf numFmtId="172" fontId="8" fillId="3" borderId="0" xfId="0" applyNumberFormat="1" applyFont="1" applyFill="1" applyAlignment="1">
      <alignment horizontal="center" vertical="center"/>
    </xf>
    <xf numFmtId="168" fontId="1" fillId="0" borderId="0" xfId="0" applyNumberFormat="1" applyFont="1" applyAlignment="1">
      <alignment horizontal="center"/>
    </xf>
    <xf numFmtId="172" fontId="1" fillId="0" borderId="9" xfId="0" applyNumberFormat="1" applyFont="1" applyBorder="1" applyAlignment="1">
      <alignment horizontal="center"/>
    </xf>
    <xf numFmtId="172" fontId="8" fillId="3" borderId="9" xfId="0" applyNumberFormat="1" applyFont="1" applyFill="1" applyBorder="1" applyAlignment="1">
      <alignment horizontal="center" vertical="center"/>
    </xf>
    <xf numFmtId="0" fontId="18" fillId="0" borderId="9" xfId="0" applyFont="1" applyBorder="1" applyAlignment="1">
      <alignment horizontal="centerContinuous"/>
    </xf>
    <xf numFmtId="0" fontId="7" fillId="0" borderId="9" xfId="0" applyFont="1" applyBorder="1" applyAlignment="1">
      <alignment horizontal="centerContinuous"/>
    </xf>
    <xf numFmtId="0" fontId="7" fillId="0" borderId="22" xfId="0" applyFont="1" applyBorder="1" applyAlignment="1">
      <alignment horizontal="center"/>
    </xf>
    <xf numFmtId="0" fontId="1" fillId="0" borderId="20" xfId="0" applyFont="1" applyBorder="1"/>
    <xf numFmtId="0" fontId="3" fillId="0" borderId="0" xfId="0" applyFont="1" applyAlignment="1">
      <alignment horizontal="left"/>
    </xf>
    <xf numFmtId="2" fontId="3" fillId="0" borderId="0" xfId="0" applyNumberFormat="1" applyFont="1"/>
    <xf numFmtId="174" fontId="3" fillId="0" borderId="0" xfId="0" applyNumberFormat="1" applyFont="1"/>
    <xf numFmtId="0" fontId="4" fillId="0" borderId="23" xfId="0" applyFont="1" applyBorder="1"/>
    <xf numFmtId="0" fontId="3" fillId="0" borderId="24" xfId="0" applyFont="1" applyBorder="1"/>
    <xf numFmtId="0" fontId="4" fillId="0" borderId="11" xfId="0" applyFont="1" applyBorder="1" applyAlignment="1">
      <alignment horizontal="centerContinuous"/>
    </xf>
    <xf numFmtId="0" fontId="3" fillId="0" borderId="11" xfId="0" applyFont="1" applyBorder="1" applyAlignment="1">
      <alignment horizontal="centerContinuous"/>
    </xf>
    <xf numFmtId="2" fontId="1" fillId="0" borderId="0" xfId="0" applyNumberFormat="1" applyFont="1"/>
    <xf numFmtId="0" fontId="2" fillId="0" borderId="23" xfId="0" applyFont="1" applyBorder="1"/>
    <xf numFmtId="0" fontId="1" fillId="0" borderId="24" xfId="0" applyFont="1" applyBorder="1"/>
    <xf numFmtId="167" fontId="3" fillId="2" borderId="14" xfId="0" applyNumberFormat="1" applyFont="1" applyFill="1" applyBorder="1" applyAlignment="1">
      <alignment vertical="center"/>
    </xf>
    <xf numFmtId="167" fontId="1" fillId="0" borderId="0" xfId="0" applyNumberFormat="1" applyFont="1" applyAlignment="1">
      <alignment horizontal="right"/>
    </xf>
    <xf numFmtId="167" fontId="2" fillId="0" borderId="6" xfId="0" applyNumberFormat="1" applyFont="1" applyBorder="1" applyAlignment="1">
      <alignment horizontal="right"/>
    </xf>
    <xf numFmtId="167" fontId="2" fillId="0" borderId="0" xfId="0" applyNumberFormat="1" applyFont="1" applyAlignment="1">
      <alignment horizontal="right"/>
    </xf>
    <xf numFmtId="167" fontId="2" fillId="0" borderId="25" xfId="0" applyNumberFormat="1" applyFont="1" applyBorder="1" applyAlignment="1">
      <alignment horizontal="right"/>
    </xf>
    <xf numFmtId="167" fontId="11" fillId="0" borderId="0" xfId="0" applyNumberFormat="1" applyFont="1" applyAlignment="1">
      <alignment horizontal="right"/>
    </xf>
    <xf numFmtId="10" fontId="12" fillId="0" borderId="0" xfId="0" applyNumberFormat="1" applyFont="1"/>
    <xf numFmtId="0" fontId="11" fillId="0" borderId="0" xfId="0" applyFont="1"/>
    <xf numFmtId="0" fontId="2" fillId="0" borderId="16" xfId="0" applyFont="1" applyBorder="1"/>
    <xf numFmtId="172" fontId="2" fillId="0" borderId="17" xfId="0" applyNumberFormat="1" applyFont="1" applyBorder="1"/>
    <xf numFmtId="0" fontId="7" fillId="0" borderId="18" xfId="0" applyFont="1" applyBorder="1"/>
    <xf numFmtId="0" fontId="7" fillId="0" borderId="11" xfId="0" applyFont="1" applyBorder="1"/>
    <xf numFmtId="0" fontId="1" fillId="0" borderId="13" xfId="0" applyFont="1" applyBorder="1" applyAlignment="1">
      <alignment horizontal="center"/>
    </xf>
    <xf numFmtId="0" fontId="4" fillId="2" borderId="11" xfId="0" applyFont="1" applyFill="1" applyBorder="1" applyAlignment="1">
      <alignment horizontal="center"/>
    </xf>
    <xf numFmtId="2" fontId="11" fillId="0" borderId="0" xfId="0" applyNumberFormat="1" applyFont="1"/>
    <xf numFmtId="174" fontId="11" fillId="0" borderId="0" xfId="0" applyNumberFormat="1" applyFont="1"/>
    <xf numFmtId="10" fontId="6" fillId="0" borderId="0" xfId="1" applyNumberFormat="1" applyFont="1"/>
    <xf numFmtId="0" fontId="6" fillId="0" borderId="24" xfId="0" applyFont="1" applyBorder="1"/>
    <xf numFmtId="10" fontId="16" fillId="0" borderId="25" xfId="1" applyNumberFormat="1" applyFont="1" applyBorder="1"/>
    <xf numFmtId="10" fontId="16" fillId="0" borderId="6" xfId="1" applyNumberFormat="1" applyFont="1" applyBorder="1"/>
    <xf numFmtId="10" fontId="6" fillId="0" borderId="0" xfId="0" applyNumberFormat="1" applyFont="1"/>
    <xf numFmtId="10" fontId="13" fillId="0" borderId="0" xfId="0" applyNumberFormat="1" applyFont="1"/>
    <xf numFmtId="0" fontId="2" fillId="0" borderId="11" xfId="0" applyFont="1" applyBorder="1"/>
    <xf numFmtId="169" fontId="1" fillId="0" borderId="0" xfId="0" applyNumberFormat="1" applyFont="1"/>
    <xf numFmtId="167" fontId="19" fillId="0" borderId="0" xfId="0" applyNumberFormat="1" applyFont="1"/>
    <xf numFmtId="0" fontId="2" fillId="0" borderId="2" xfId="0" applyFont="1" applyBorder="1"/>
    <xf numFmtId="169" fontId="18" fillId="0" borderId="3" xfId="0" applyNumberFormat="1" applyFont="1" applyBorder="1"/>
    <xf numFmtId="169" fontId="18" fillId="0" borderId="4" xfId="0" applyNumberFormat="1" applyFont="1" applyBorder="1"/>
    <xf numFmtId="0" fontId="1" fillId="0" borderId="12" xfId="0" applyFont="1" applyBorder="1"/>
    <xf numFmtId="167" fontId="19" fillId="0" borderId="13" xfId="0" applyNumberFormat="1" applyFont="1" applyBorder="1"/>
    <xf numFmtId="169" fontId="1" fillId="0" borderId="13" xfId="0" applyNumberFormat="1" applyFont="1" applyBorder="1"/>
    <xf numFmtId="169" fontId="13" fillId="5" borderId="0" xfId="0" applyNumberFormat="1" applyFont="1" applyFill="1"/>
    <xf numFmtId="169" fontId="6" fillId="5" borderId="0" xfId="0" applyNumberFormat="1" applyFont="1" applyFill="1"/>
    <xf numFmtId="169" fontId="7" fillId="5" borderId="0" xfId="0" applyNumberFormat="1" applyFont="1" applyFill="1"/>
    <xf numFmtId="165" fontId="4" fillId="2" borderId="11" xfId="0" applyNumberFormat="1" applyFont="1" applyFill="1" applyBorder="1" applyAlignment="1">
      <alignment horizontal="right" vertical="center"/>
    </xf>
    <xf numFmtId="164" fontId="4" fillId="2" borderId="11" xfId="0" applyNumberFormat="1" applyFont="1" applyFill="1" applyBorder="1" applyAlignment="1">
      <alignment horizontal="right" vertical="center"/>
    </xf>
    <xf numFmtId="165" fontId="4" fillId="0" borderId="11" xfId="0" applyNumberFormat="1" applyFont="1" applyBorder="1" applyAlignment="1">
      <alignment horizontal="right" vertical="center"/>
    </xf>
    <xf numFmtId="164" fontId="4" fillId="0" borderId="11" xfId="0" applyNumberFormat="1" applyFont="1" applyBorder="1" applyAlignment="1">
      <alignment horizontal="right" vertical="center"/>
    </xf>
    <xf numFmtId="0" fontId="0" fillId="0" borderId="0" xfId="0" applyAlignment="1">
      <alignment vertical="center"/>
    </xf>
    <xf numFmtId="167" fontId="11" fillId="0" borderId="0" xfId="0" applyNumberFormat="1" applyFont="1" applyAlignment="1">
      <alignment vertical="center"/>
    </xf>
    <xf numFmtId="167" fontId="2" fillId="2" borderId="5" xfId="0" applyNumberFormat="1" applyFont="1" applyFill="1" applyBorder="1" applyAlignment="1">
      <alignment vertical="center"/>
    </xf>
    <xf numFmtId="167" fontId="1" fillId="0" borderId="0" xfId="0" applyNumberFormat="1" applyFont="1" applyAlignment="1">
      <alignment vertical="center"/>
    </xf>
    <xf numFmtId="167" fontId="1" fillId="0" borderId="13" xfId="0" applyNumberFormat="1"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166" fontId="7" fillId="0" borderId="3" xfId="0" applyNumberFormat="1" applyFont="1" applyBorder="1" applyAlignment="1">
      <alignment vertical="center"/>
    </xf>
    <xf numFmtId="166" fontId="7" fillId="0" borderId="4" xfId="0" applyNumberFormat="1" applyFont="1" applyBorder="1" applyAlignment="1">
      <alignment vertical="center"/>
    </xf>
    <xf numFmtId="171" fontId="7" fillId="2" borderId="3" xfId="0" applyNumberFormat="1" applyFont="1" applyFill="1" applyBorder="1" applyAlignment="1">
      <alignment vertical="center"/>
    </xf>
    <xf numFmtId="171" fontId="7" fillId="0" borderId="3" xfId="0" applyNumberFormat="1" applyFont="1" applyBorder="1" applyAlignment="1">
      <alignment vertical="center"/>
    </xf>
    <xf numFmtId="171" fontId="7" fillId="0" borderId="4" xfId="0" applyNumberFormat="1" applyFont="1" applyBorder="1" applyAlignment="1">
      <alignment vertical="center"/>
    </xf>
    <xf numFmtId="0" fontId="18" fillId="0" borderId="0" xfId="0" applyFont="1"/>
    <xf numFmtId="3" fontId="3" fillId="2" borderId="0" xfId="0" applyNumberFormat="1" applyFont="1" applyFill="1" applyAlignment="1">
      <alignment vertical="center"/>
    </xf>
    <xf numFmtId="169" fontId="6" fillId="0" borderId="0" xfId="0" applyNumberFormat="1" applyFont="1" applyAlignment="1">
      <alignment vertical="center"/>
    </xf>
    <xf numFmtId="169" fontId="6" fillId="0" borderId="13" xfId="0" applyNumberFormat="1" applyFont="1" applyBorder="1" applyAlignment="1">
      <alignment vertical="center"/>
    </xf>
    <xf numFmtId="0" fontId="7" fillId="2" borderId="0" xfId="0" applyFont="1" applyFill="1" applyAlignment="1">
      <alignment vertical="center"/>
    </xf>
    <xf numFmtId="167" fontId="6" fillId="0" borderId="13" xfId="0" applyNumberFormat="1" applyFont="1" applyBorder="1" applyAlignment="1">
      <alignment vertical="center"/>
    </xf>
    <xf numFmtId="0" fontId="21" fillId="3" borderId="0" xfId="0" applyFont="1" applyFill="1" applyAlignment="1">
      <alignment horizontal="right"/>
    </xf>
    <xf numFmtId="176" fontId="3" fillId="2" borderId="0" xfId="0" applyNumberFormat="1" applyFont="1" applyFill="1" applyAlignment="1">
      <alignment vertical="center"/>
    </xf>
    <xf numFmtId="0" fontId="16" fillId="2" borderId="0" xfId="0" applyFont="1" applyFill="1" applyAlignment="1">
      <alignment vertical="center"/>
    </xf>
    <xf numFmtId="167" fontId="16" fillId="2" borderId="0" xfId="0" applyNumberFormat="1" applyFont="1" applyFill="1" applyAlignment="1">
      <alignment vertical="center"/>
    </xf>
    <xf numFmtId="167" fontId="16" fillId="2" borderId="13" xfId="0" applyNumberFormat="1" applyFont="1" applyFill="1" applyBorder="1" applyAlignment="1">
      <alignment vertical="center"/>
    </xf>
    <xf numFmtId="169" fontId="6" fillId="0" borderId="10" xfId="0" applyNumberFormat="1" applyFont="1" applyBorder="1" applyAlignment="1">
      <alignment vertical="center"/>
    </xf>
    <xf numFmtId="167" fontId="1" fillId="0" borderId="14" xfId="0" applyNumberFormat="1" applyFont="1" applyBorder="1" applyAlignment="1">
      <alignment vertical="center"/>
    </xf>
    <xf numFmtId="167" fontId="1" fillId="0" borderId="9" xfId="0" applyNumberFormat="1" applyFont="1" applyBorder="1"/>
    <xf numFmtId="0" fontId="2" fillId="0" borderId="13" xfId="0" applyFont="1" applyBorder="1" applyAlignment="1">
      <alignment vertical="center"/>
    </xf>
    <xf numFmtId="0" fontId="2" fillId="0" borderId="11" xfId="0" applyFont="1" applyBorder="1" applyAlignment="1">
      <alignment vertical="center"/>
    </xf>
    <xf numFmtId="0" fontId="2" fillId="0" borderId="21" xfId="0" applyFont="1" applyBorder="1" applyAlignment="1">
      <alignment vertical="center"/>
    </xf>
    <xf numFmtId="169" fontId="22" fillId="0" borderId="3" xfId="0" applyNumberFormat="1" applyFont="1" applyBorder="1"/>
    <xf numFmtId="169" fontId="12" fillId="0" borderId="5" xfId="0" applyNumberFormat="1" applyFont="1" applyBorder="1"/>
    <xf numFmtId="169" fontId="12" fillId="0" borderId="14" xfId="0" applyNumberFormat="1" applyFont="1" applyBorder="1"/>
    <xf numFmtId="169" fontId="12" fillId="0" borderId="13" xfId="0" applyNumberFormat="1" applyFont="1" applyBorder="1"/>
    <xf numFmtId="169" fontId="18" fillId="0" borderId="0" xfId="0" applyNumberFormat="1" applyFont="1"/>
    <xf numFmtId="169" fontId="18" fillId="0" borderId="13" xfId="0" applyNumberFormat="1" applyFont="1" applyBorder="1"/>
    <xf numFmtId="170" fontId="2" fillId="0" borderId="0" xfId="0" applyNumberFormat="1" applyFont="1"/>
    <xf numFmtId="170" fontId="9" fillId="5" borderId="0" xfId="0" applyNumberFormat="1" applyFont="1" applyFill="1"/>
    <xf numFmtId="170" fontId="3" fillId="5" borderId="0" xfId="0" applyNumberFormat="1" applyFont="1" applyFill="1"/>
    <xf numFmtId="0" fontId="17" fillId="0" borderId="0" xfId="0" applyFont="1" applyAlignment="1">
      <alignment horizontal="left" vertical="center"/>
    </xf>
    <xf numFmtId="0" fontId="3" fillId="2" borderId="11" xfId="0" applyFont="1" applyFill="1" applyBorder="1" applyAlignment="1">
      <alignment vertical="center"/>
    </xf>
    <xf numFmtId="0" fontId="1" fillId="0" borderId="11" xfId="0" applyFont="1" applyBorder="1" applyAlignment="1">
      <alignment vertical="center"/>
    </xf>
    <xf numFmtId="0" fontId="1" fillId="0" borderId="21" xfId="0" applyFont="1" applyBorder="1" applyAlignment="1">
      <alignmen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1" fillId="0" borderId="0" xfId="0" applyFont="1" applyBorder="1" applyAlignment="1">
      <alignment vertical="center"/>
    </xf>
    <xf numFmtId="177" fontId="2" fillId="0" borderId="6" xfId="0" applyNumberFormat="1" applyFont="1" applyBorder="1" applyAlignment="1">
      <alignment vertical="center"/>
    </xf>
    <xf numFmtId="177" fontId="2" fillId="0" borderId="7" xfId="0" applyNumberFormat="1" applyFont="1" applyBorder="1" applyAlignment="1">
      <alignment vertical="center"/>
    </xf>
    <xf numFmtId="178" fontId="12" fillId="0" borderId="19" xfId="1" applyNumberFormat="1" applyFont="1" applyBorder="1"/>
    <xf numFmtId="14" fontId="10" fillId="0" borderId="0" xfId="0" applyNumberFormat="1" applyFont="1"/>
    <xf numFmtId="177" fontId="2" fillId="0" borderId="0" xfId="0" applyNumberFormat="1" applyFont="1" applyBorder="1" applyAlignment="1">
      <alignment vertical="center"/>
    </xf>
    <xf numFmtId="0" fontId="6" fillId="2" borderId="0" xfId="0" applyFont="1" applyFill="1" applyBorder="1" applyAlignment="1">
      <alignment vertical="center"/>
    </xf>
    <xf numFmtId="178" fontId="7" fillId="0" borderId="0" xfId="0" applyNumberFormat="1" applyFont="1" applyBorder="1" applyAlignment="1">
      <alignment vertical="center"/>
    </xf>
    <xf numFmtId="178" fontId="7" fillId="0" borderId="13" xfId="0" applyNumberFormat="1" applyFont="1" applyBorder="1" applyAlignment="1">
      <alignment vertical="center"/>
    </xf>
    <xf numFmtId="170" fontId="9" fillId="0" borderId="0" xfId="0" applyNumberFormat="1" applyFont="1"/>
    <xf numFmtId="177" fontId="11" fillId="0" borderId="0" xfId="0" applyNumberFormat="1" applyFont="1"/>
    <xf numFmtId="175" fontId="19" fillId="0" borderId="1" xfId="1" applyNumberFormat="1" applyFont="1" applyBorder="1" applyAlignment="1">
      <alignment horizontal="center"/>
    </xf>
    <xf numFmtId="0" fontId="4" fillId="2" borderId="2" xfId="0" applyFont="1" applyFill="1" applyBorder="1" applyAlignment="1">
      <alignment vertical="center"/>
    </xf>
    <xf numFmtId="0" fontId="4" fillId="2" borderId="3" xfId="0" applyFont="1" applyFill="1" applyBorder="1" applyAlignment="1">
      <alignment vertical="center"/>
    </xf>
    <xf numFmtId="177" fontId="2" fillId="0" borderId="3" xfId="0" applyNumberFormat="1" applyFont="1" applyBorder="1" applyAlignment="1">
      <alignment vertical="center"/>
    </xf>
    <xf numFmtId="178" fontId="7" fillId="0" borderId="3" xfId="0" applyNumberFormat="1" applyFont="1" applyBorder="1" applyAlignment="1">
      <alignment vertical="center"/>
    </xf>
    <xf numFmtId="170" fontId="2" fillId="0" borderId="4" xfId="0" applyNumberFormat="1" applyFont="1" applyBorder="1" applyAlignment="1">
      <alignment vertical="center"/>
    </xf>
    <xf numFmtId="170" fontId="2" fillId="0" borderId="3" xfId="0" applyNumberFormat="1" applyFont="1" applyBorder="1" applyAlignment="1">
      <alignment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7" fillId="2" borderId="8" xfId="0" applyFont="1" applyFill="1" applyBorder="1"/>
    <xf numFmtId="0" fontId="7" fillId="2" borderId="9" xfId="0" applyFont="1" applyFill="1" applyBorder="1"/>
    <xf numFmtId="0" fontId="1" fillId="2" borderId="0" xfId="0" applyFont="1" applyFill="1"/>
    <xf numFmtId="0" fontId="7" fillId="2" borderId="14" xfId="0" applyFont="1" applyFill="1" applyBorder="1"/>
    <xf numFmtId="0" fontId="7" fillId="2" borderId="0" xfId="0" applyFont="1" applyFill="1"/>
    <xf numFmtId="0" fontId="1" fillId="2" borderId="0" xfId="0" applyFont="1" applyFill="1" applyAlignment="1">
      <alignment horizontal="left"/>
    </xf>
    <xf numFmtId="0" fontId="1" fillId="2" borderId="0" xfId="0" applyFont="1" applyFill="1" applyAlignment="1">
      <alignment horizontal="left" indent="1"/>
    </xf>
    <xf numFmtId="0" fontId="2" fillId="2" borderId="6" xfId="0" applyFont="1" applyFill="1" applyBorder="1"/>
    <xf numFmtId="0" fontId="7" fillId="2" borderId="5" xfId="0" applyFont="1" applyFill="1" applyBorder="1" applyAlignment="1">
      <alignment horizontal="left"/>
    </xf>
    <xf numFmtId="0" fontId="7" fillId="2" borderId="6" xfId="0" applyFont="1" applyFill="1" applyBorder="1" applyAlignment="1">
      <alignment horizontal="left"/>
    </xf>
    <xf numFmtId="0" fontId="5" fillId="0" borderId="0" xfId="0" applyFont="1" applyAlignment="1">
      <alignment horizontal="left" vertical="center"/>
    </xf>
    <xf numFmtId="0" fontId="3" fillId="0" borderId="0" xfId="0" applyFont="1" applyAlignment="1">
      <alignment horizontal="center"/>
    </xf>
    <xf numFmtId="0" fontId="4" fillId="0" borderId="11" xfId="0" applyFont="1" applyBorder="1" applyAlignment="1">
      <alignment horizontal="center"/>
    </xf>
    <xf numFmtId="170" fontId="2" fillId="0" borderId="3" xfId="0" applyNumberFormat="1" applyFont="1" applyBorder="1"/>
    <xf numFmtId="170" fontId="2" fillId="0" borderId="4" xfId="0" applyNumberFormat="1" applyFont="1" applyBorder="1"/>
    <xf numFmtId="0" fontId="24" fillId="0" borderId="0" xfId="0" applyFont="1" applyAlignment="1">
      <alignment horizontal="left" vertical="center"/>
    </xf>
    <xf numFmtId="14" fontId="26" fillId="0" borderId="0" xfId="0" applyNumberFormat="1" applyFont="1"/>
    <xf numFmtId="0" fontId="3" fillId="0" borderId="14" xfId="0" applyFont="1" applyBorder="1"/>
    <xf numFmtId="170" fontId="3" fillId="0" borderId="0" xfId="0" applyNumberFormat="1" applyFont="1"/>
    <xf numFmtId="170" fontId="3" fillId="0" borderId="13" xfId="0" applyNumberFormat="1" applyFont="1" applyBorder="1"/>
    <xf numFmtId="0" fontId="4" fillId="6" borderId="2" xfId="0" applyFont="1" applyFill="1" applyBorder="1"/>
    <xf numFmtId="0" fontId="4" fillId="6" borderId="3" xfId="0" applyFont="1" applyFill="1" applyBorder="1"/>
    <xf numFmtId="170" fontId="4" fillId="6" borderId="3" xfId="0" applyNumberFormat="1" applyFont="1" applyFill="1" applyBorder="1"/>
    <xf numFmtId="170" fontId="4" fillId="6" borderId="4" xfId="0" applyNumberFormat="1" applyFont="1" applyFill="1" applyBorder="1"/>
    <xf numFmtId="0" fontId="27" fillId="0" borderId="0" xfId="0" applyFont="1"/>
    <xf numFmtId="0" fontId="24" fillId="0" borderId="0" xfId="0" applyFont="1" applyAlignment="1">
      <alignment horizontal="left" vertical="center"/>
    </xf>
    <xf numFmtId="179" fontId="3" fillId="0" borderId="0" xfId="0" applyNumberFormat="1" applyFont="1"/>
    <xf numFmtId="179" fontId="3" fillId="0" borderId="13" xfId="0" applyNumberFormat="1" applyFont="1" applyBorder="1"/>
    <xf numFmtId="179" fontId="4" fillId="6" borderId="3" xfId="0" applyNumberFormat="1" applyFont="1" applyFill="1" applyBorder="1"/>
    <xf numFmtId="179" fontId="4" fillId="6" borderId="4" xfId="0" applyNumberFormat="1" applyFont="1" applyFill="1" applyBorder="1"/>
    <xf numFmtId="169" fontId="3" fillId="0" borderId="0" xfId="0" applyNumberFormat="1" applyFont="1"/>
    <xf numFmtId="169" fontId="3" fillId="0" borderId="13" xfId="0" applyNumberFormat="1" applyFont="1" applyBorder="1"/>
    <xf numFmtId="169" fontId="4" fillId="6" borderId="3" xfId="0" applyNumberFormat="1" applyFont="1" applyFill="1" applyBorder="1"/>
    <xf numFmtId="169" fontId="4" fillId="6" borderId="4" xfId="0" applyNumberFormat="1" applyFont="1" applyFill="1" applyBorder="1"/>
    <xf numFmtId="0" fontId="25" fillId="7" borderId="5" xfId="0" applyFont="1" applyFill="1" applyBorder="1"/>
    <xf numFmtId="0" fontId="25" fillId="7" borderId="6" xfId="0" applyFont="1" applyFill="1" applyBorder="1"/>
    <xf numFmtId="0" fontId="25" fillId="7" borderId="7" xfId="0" applyFont="1" applyFill="1" applyBorder="1"/>
    <xf numFmtId="0" fontId="25" fillId="7" borderId="8" xfId="0" applyFont="1" applyFill="1" applyBorder="1"/>
    <xf numFmtId="0" fontId="25" fillId="7" borderId="9" xfId="0" applyFont="1" applyFill="1" applyBorder="1"/>
    <xf numFmtId="14" fontId="25" fillId="7" borderId="9" xfId="0" applyNumberFormat="1" applyFont="1" applyFill="1" applyBorder="1"/>
    <xf numFmtId="14" fontId="25" fillId="7" borderId="10" xfId="0" applyNumberFormat="1" applyFont="1" applyFill="1" applyBorder="1"/>
  </cellXfs>
  <cellStyles count="2">
    <cellStyle name="Normal" xfId="0" builtinId="0"/>
    <cellStyle name="Percent" xfId="1" builtinId="5"/>
  </cellStyles>
  <dxfs count="0"/>
  <tableStyles count="0" defaultTableStyle="TableStyleMedium2" defaultPivotStyle="PivotStyleLight16"/>
  <colors>
    <mruColors>
      <color rgb="FF0018A8"/>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Current Ratio</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Liquidity!$B$6</c:f>
              <c:strCache>
                <c:ptCount val="1"/>
                <c:pt idx="0">
                  <c:v>NYSE:MTZ</c:v>
                </c:pt>
              </c:strCache>
            </c:strRef>
          </c:tx>
          <c:spPr>
            <a:ln w="28575" cap="rnd">
              <a:solidFill>
                <a:schemeClr val="accent1"/>
              </a:solidFill>
              <a:round/>
            </a:ln>
            <a:effectLst/>
          </c:spPr>
          <c:marker>
            <c:symbol val="none"/>
          </c:marker>
          <c:cat>
            <c:numRef>
              <c:f>Liquidity!$D$5:$M$5</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Liquidity!$D$6:$M$6</c:f>
              <c:numCache>
                <c:formatCode>0.0\x</c:formatCode>
                <c:ptCount val="10"/>
                <c:pt idx="0">
                  <c:v>1.5762</c:v>
                </c:pt>
                <c:pt idx="1">
                  <c:v>1.56166</c:v>
                </c:pt>
                <c:pt idx="2">
                  <c:v>1.5012700000000001</c:v>
                </c:pt>
                <c:pt idx="3">
                  <c:v>1.5012700000000001</c:v>
                </c:pt>
                <c:pt idx="4">
                  <c:v>1.9218900000000001</c:v>
                </c:pt>
                <c:pt idx="5">
                  <c:v>1.6897599999999999</c:v>
                </c:pt>
                <c:pt idx="6">
                  <c:v>1.78288</c:v>
                </c:pt>
                <c:pt idx="7">
                  <c:v>1.6669099999999999</c:v>
                </c:pt>
                <c:pt idx="8">
                  <c:v>1.61042</c:v>
                </c:pt>
                <c:pt idx="9">
                  <c:v>1.5461</c:v>
                </c:pt>
              </c:numCache>
            </c:numRef>
          </c:val>
          <c:smooth val="0"/>
          <c:extLst>
            <c:ext xmlns:c16="http://schemas.microsoft.com/office/drawing/2014/chart" uri="{C3380CC4-5D6E-409C-BE32-E72D297353CC}">
              <c16:uniqueId val="{00000000-03BB-49BA-90D5-C910CC5CCDE0}"/>
            </c:ext>
          </c:extLst>
        </c:ser>
        <c:ser>
          <c:idx val="1"/>
          <c:order val="1"/>
          <c:tx>
            <c:strRef>
              <c:f>Liquidity!$B$7</c:f>
              <c:strCache>
                <c:ptCount val="1"/>
                <c:pt idx="0">
                  <c:v>NASDAQ:MYRG</c:v>
                </c:pt>
              </c:strCache>
            </c:strRef>
          </c:tx>
          <c:spPr>
            <a:ln w="28575" cap="rnd">
              <a:solidFill>
                <a:schemeClr val="accent2"/>
              </a:solidFill>
              <a:round/>
            </a:ln>
            <a:effectLst/>
          </c:spPr>
          <c:marker>
            <c:symbol val="none"/>
          </c:marker>
          <c:cat>
            <c:numRef>
              <c:f>Liquidity!$D$5:$M$5</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Liquidity!$D$7:$M$7</c:f>
              <c:numCache>
                <c:formatCode>0.0\x</c:formatCode>
                <c:ptCount val="10"/>
                <c:pt idx="0">
                  <c:v>1.58504</c:v>
                </c:pt>
                <c:pt idx="1">
                  <c:v>1.8270599999999999</c:v>
                </c:pt>
                <c:pt idx="2">
                  <c:v>1.68784</c:v>
                </c:pt>
                <c:pt idx="3">
                  <c:v>1.68784</c:v>
                </c:pt>
                <c:pt idx="4">
                  <c:v>2.01383</c:v>
                </c:pt>
                <c:pt idx="5">
                  <c:v>1.6759200000000001</c:v>
                </c:pt>
                <c:pt idx="6">
                  <c:v>1.6107899999999999</c:v>
                </c:pt>
                <c:pt idx="7">
                  <c:v>1.43591</c:v>
                </c:pt>
                <c:pt idx="8">
                  <c:v>1.50099</c:v>
                </c:pt>
                <c:pt idx="9">
                  <c:v>1.3348500000000001</c:v>
                </c:pt>
              </c:numCache>
            </c:numRef>
          </c:val>
          <c:smooth val="0"/>
          <c:extLst>
            <c:ext xmlns:c16="http://schemas.microsoft.com/office/drawing/2014/chart" uri="{C3380CC4-5D6E-409C-BE32-E72D297353CC}">
              <c16:uniqueId val="{00000001-03BB-49BA-90D5-C910CC5CCDE0}"/>
            </c:ext>
          </c:extLst>
        </c:ser>
        <c:ser>
          <c:idx val="2"/>
          <c:order val="2"/>
          <c:tx>
            <c:strRef>
              <c:f>Liquidity!$B$8</c:f>
              <c:strCache>
                <c:ptCount val="1"/>
                <c:pt idx="0">
                  <c:v>NYSE:PWR</c:v>
                </c:pt>
              </c:strCache>
            </c:strRef>
          </c:tx>
          <c:spPr>
            <a:ln w="28575" cap="rnd">
              <a:solidFill>
                <a:schemeClr val="accent3"/>
              </a:solidFill>
              <a:round/>
            </a:ln>
            <a:effectLst/>
          </c:spPr>
          <c:marker>
            <c:symbol val="none"/>
          </c:marker>
          <c:cat>
            <c:numRef>
              <c:f>Liquidity!$D$5:$M$5</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Liquidity!$D$8:$M$8</c:f>
              <c:numCache>
                <c:formatCode>0.0\x</c:formatCode>
                <c:ptCount val="10"/>
                <c:pt idx="0">
                  <c:v>2.2190799999999999</c:v>
                </c:pt>
                <c:pt idx="1">
                  <c:v>2.2558799999999999</c:v>
                </c:pt>
                <c:pt idx="2">
                  <c:v>1.8920300000000001</c:v>
                </c:pt>
                <c:pt idx="3">
                  <c:v>1.8920300000000001</c:v>
                </c:pt>
                <c:pt idx="4">
                  <c:v>1.92344</c:v>
                </c:pt>
                <c:pt idx="5">
                  <c:v>1.8415699999999999</c:v>
                </c:pt>
                <c:pt idx="6">
                  <c:v>1.6928399999999999</c:v>
                </c:pt>
                <c:pt idx="7">
                  <c:v>1.6779500000000001</c:v>
                </c:pt>
                <c:pt idx="8">
                  <c:v>1.4953000000000001</c:v>
                </c:pt>
                <c:pt idx="9">
                  <c:v>1.6252899999999999</c:v>
                </c:pt>
              </c:numCache>
            </c:numRef>
          </c:val>
          <c:smooth val="0"/>
          <c:extLst>
            <c:ext xmlns:c16="http://schemas.microsoft.com/office/drawing/2014/chart" uri="{C3380CC4-5D6E-409C-BE32-E72D297353CC}">
              <c16:uniqueId val="{00000002-03BB-49BA-90D5-C910CC5CCDE0}"/>
            </c:ext>
          </c:extLst>
        </c:ser>
        <c:dLbls>
          <c:showLegendKey val="0"/>
          <c:showVal val="0"/>
          <c:showCatName val="0"/>
          <c:showSerName val="0"/>
          <c:showPercent val="0"/>
          <c:showBubbleSize val="0"/>
        </c:dLbls>
        <c:smooth val="0"/>
        <c:axId val="1146875951"/>
        <c:axId val="1146860975"/>
      </c:lineChart>
      <c:dateAx>
        <c:axId val="1146875951"/>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46860975"/>
        <c:crosses val="autoZero"/>
        <c:auto val="1"/>
        <c:lblOffset val="100"/>
        <c:baseTimeUnit val="years"/>
      </c:dateAx>
      <c:valAx>
        <c:axId val="1146860975"/>
        <c:scaling>
          <c:orientation val="minMax"/>
        </c:scaling>
        <c:delete val="0"/>
        <c:axPos val="l"/>
        <c:numFmt formatCode="0.0\x"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468759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Inventory Turnover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Efficiency!$B$19</c:f>
              <c:strCache>
                <c:ptCount val="1"/>
                <c:pt idx="0">
                  <c:v>NYSE:MTZ</c:v>
                </c:pt>
              </c:strCache>
            </c:strRef>
          </c:tx>
          <c:spPr>
            <a:ln w="28575" cap="rnd">
              <a:solidFill>
                <a:schemeClr val="accent1"/>
              </a:solidFill>
              <a:round/>
            </a:ln>
            <a:effectLst/>
          </c:spPr>
          <c:marker>
            <c:symbol val="none"/>
          </c:marker>
          <c:cat>
            <c:numRef>
              <c:f>Efficiency!$D$18:$M$18</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Efficiency!$D$19:$M$19</c:f>
              <c:numCache>
                <c:formatCode>0.0\x;;\-.\-\x</c:formatCode>
                <c:ptCount val="10"/>
                <c:pt idx="0">
                  <c:v>47.784469999999999</c:v>
                </c:pt>
                <c:pt idx="1">
                  <c:v>43.477620000000002</c:v>
                </c:pt>
                <c:pt idx="2">
                  <c:v>36.590440000000001</c:v>
                </c:pt>
                <c:pt idx="3">
                  <c:v>36.590440000000001</c:v>
                </c:pt>
                <c:pt idx="4">
                  <c:v>61.112810000000003</c:v>
                </c:pt>
                <c:pt idx="5">
                  <c:v>62.28922</c:v>
                </c:pt>
                <c:pt idx="6">
                  <c:v>56.790170000000003</c:v>
                </c:pt>
                <c:pt idx="7">
                  <c:v>55.566580000000002</c:v>
                </c:pt>
                <c:pt idx="8">
                  <c:v>74.689800000000005</c:v>
                </c:pt>
                <c:pt idx="9">
                  <c:v>81.277259999999998</c:v>
                </c:pt>
              </c:numCache>
            </c:numRef>
          </c:val>
          <c:smooth val="0"/>
          <c:extLst>
            <c:ext xmlns:c16="http://schemas.microsoft.com/office/drawing/2014/chart" uri="{C3380CC4-5D6E-409C-BE32-E72D297353CC}">
              <c16:uniqueId val="{00000000-74F1-4682-821E-99B6C24D1C93}"/>
            </c:ext>
          </c:extLst>
        </c:ser>
        <c:ser>
          <c:idx val="1"/>
          <c:order val="1"/>
          <c:tx>
            <c:strRef>
              <c:f>Efficiency!$B$20</c:f>
              <c:strCache>
                <c:ptCount val="1"/>
                <c:pt idx="0">
                  <c:v>NASDAQ:MYRG</c:v>
                </c:pt>
              </c:strCache>
            </c:strRef>
          </c:tx>
          <c:spPr>
            <a:ln w="28575" cap="rnd">
              <a:solidFill>
                <a:schemeClr val="accent2"/>
              </a:solidFill>
              <a:round/>
            </a:ln>
            <a:effectLst/>
          </c:spPr>
          <c:marker>
            <c:symbol val="none"/>
          </c:marker>
          <c:cat>
            <c:numRef>
              <c:f>Efficiency!$D$18:$M$18</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Efficiency!$D$20:$M$20</c:f>
              <c:numCache>
                <c:formatCode>0.0\x;;\-.\-\x</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74F1-4682-821E-99B6C24D1C93}"/>
            </c:ext>
          </c:extLst>
        </c:ser>
        <c:ser>
          <c:idx val="2"/>
          <c:order val="2"/>
          <c:tx>
            <c:strRef>
              <c:f>Efficiency!$B$21</c:f>
              <c:strCache>
                <c:ptCount val="1"/>
                <c:pt idx="0">
                  <c:v>NYSE:PWR</c:v>
                </c:pt>
              </c:strCache>
            </c:strRef>
          </c:tx>
          <c:spPr>
            <a:ln w="28575" cap="rnd">
              <a:solidFill>
                <a:schemeClr val="accent3"/>
              </a:solidFill>
              <a:round/>
            </a:ln>
            <a:effectLst/>
          </c:spPr>
          <c:marker>
            <c:symbol val="none"/>
          </c:marker>
          <c:cat>
            <c:numRef>
              <c:f>Efficiency!$D$18:$M$18</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Efficiency!$D$21:$M$21</c:f>
              <c:numCache>
                <c:formatCode>0.0\x;;\-.\-\x</c:formatCode>
                <c:ptCount val="10"/>
                <c:pt idx="0">
                  <c:v>154.68487999999999</c:v>
                </c:pt>
                <c:pt idx="1">
                  <c:v>185.83674999999999</c:v>
                </c:pt>
                <c:pt idx="2">
                  <c:v>116.43471</c:v>
                </c:pt>
                <c:pt idx="3">
                  <c:v>116.43471</c:v>
                </c:pt>
                <c:pt idx="4">
                  <c:v>97.081149999999994</c:v>
                </c:pt>
                <c:pt idx="5">
                  <c:v>102.76064</c:v>
                </c:pt>
                <c:pt idx="6">
                  <c:v>128.62449000000001</c:v>
                </c:pt>
                <c:pt idx="7">
                  <c:v>179.71062000000001</c:v>
                </c:pt>
                <c:pt idx="8">
                  <c:v>163.20391000000001</c:v>
                </c:pt>
                <c:pt idx="9">
                  <c:v>154.79393999999999</c:v>
                </c:pt>
              </c:numCache>
            </c:numRef>
          </c:val>
          <c:smooth val="0"/>
          <c:extLst>
            <c:ext xmlns:c16="http://schemas.microsoft.com/office/drawing/2014/chart" uri="{C3380CC4-5D6E-409C-BE32-E72D297353CC}">
              <c16:uniqueId val="{00000002-74F1-4682-821E-99B6C24D1C93}"/>
            </c:ext>
          </c:extLst>
        </c:ser>
        <c:dLbls>
          <c:showLegendKey val="0"/>
          <c:showVal val="0"/>
          <c:showCatName val="0"/>
          <c:showSerName val="0"/>
          <c:showPercent val="0"/>
          <c:showBubbleSize val="0"/>
        </c:dLbls>
        <c:smooth val="0"/>
        <c:axId val="1199606111"/>
        <c:axId val="1199596959"/>
      </c:lineChart>
      <c:dateAx>
        <c:axId val="1199606111"/>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99596959"/>
        <c:crosses val="autoZero"/>
        <c:auto val="1"/>
        <c:lblOffset val="100"/>
        <c:baseTimeUnit val="years"/>
      </c:dateAx>
      <c:valAx>
        <c:axId val="1199596959"/>
        <c:scaling>
          <c:orientation val="minMax"/>
        </c:scaling>
        <c:delete val="0"/>
        <c:axPos val="l"/>
        <c:numFmt formatCode="0.0\x;"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99606111"/>
        <c:crosses val="autoZero"/>
        <c:crossBetween val="between"/>
        <c:majorUnit val="4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Gross Profit Margin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Profitability!$B$8</c:f>
              <c:strCache>
                <c:ptCount val="1"/>
                <c:pt idx="0">
                  <c:v>NYSE:MTZ</c:v>
                </c:pt>
              </c:strCache>
            </c:strRef>
          </c:tx>
          <c:spPr>
            <a:ln w="28575" cap="rnd">
              <a:solidFill>
                <a:schemeClr val="accent1"/>
              </a:solidFill>
              <a:round/>
            </a:ln>
            <a:effectLst/>
          </c:spPr>
          <c:marker>
            <c:symbol val="none"/>
          </c:marker>
          <c:cat>
            <c:numRef>
              <c:f>Profitability!$D$7:$M$7</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Profitability!$D$8:$M$8</c:f>
              <c:numCache>
                <c:formatCode>0.0%_);\(0.0%\);0.0%_);</c:formatCode>
                <c:ptCount val="10"/>
                <c:pt idx="0">
                  <c:v>0.14854300000000001</c:v>
                </c:pt>
                <c:pt idx="1">
                  <c:v>0.137438</c:v>
                </c:pt>
                <c:pt idx="2">
                  <c:v>0.11572900000000001</c:v>
                </c:pt>
                <c:pt idx="3">
                  <c:v>0.11572900000000001</c:v>
                </c:pt>
                <c:pt idx="4">
                  <c:v>0.13041800000000001</c:v>
                </c:pt>
                <c:pt idx="5">
                  <c:v>0.140403</c:v>
                </c:pt>
                <c:pt idx="6">
                  <c:v>0.15493699999999999</c:v>
                </c:pt>
                <c:pt idx="7">
                  <c:v>0.166128</c:v>
                </c:pt>
                <c:pt idx="8">
                  <c:v>0.144124</c:v>
                </c:pt>
                <c:pt idx="9">
                  <c:v>0.124872</c:v>
                </c:pt>
              </c:numCache>
            </c:numRef>
          </c:val>
          <c:smooth val="0"/>
          <c:extLst>
            <c:ext xmlns:c16="http://schemas.microsoft.com/office/drawing/2014/chart" uri="{C3380CC4-5D6E-409C-BE32-E72D297353CC}">
              <c16:uniqueId val="{00000000-8D71-42CF-99A6-46FF8790B1F4}"/>
            </c:ext>
          </c:extLst>
        </c:ser>
        <c:ser>
          <c:idx val="1"/>
          <c:order val="1"/>
          <c:tx>
            <c:strRef>
              <c:f>Profitability!$B$9</c:f>
              <c:strCache>
                <c:ptCount val="1"/>
                <c:pt idx="0">
                  <c:v>NASDAQ:MYRG</c:v>
                </c:pt>
              </c:strCache>
            </c:strRef>
          </c:tx>
          <c:spPr>
            <a:ln w="28575" cap="rnd">
              <a:solidFill>
                <a:schemeClr val="accent2"/>
              </a:solidFill>
              <a:round/>
            </a:ln>
            <a:effectLst/>
          </c:spPr>
          <c:marker>
            <c:symbol val="none"/>
          </c:marker>
          <c:cat>
            <c:numRef>
              <c:f>Profitability!$D$7:$M$7</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Profitability!$D$9:$M$9</c:f>
              <c:numCache>
                <c:formatCode>0.0%_);\(0.0%\);0.0%_);</c:formatCode>
                <c:ptCount val="10"/>
                <c:pt idx="0">
                  <c:v>0.13833200000000001</c:v>
                </c:pt>
                <c:pt idx="1">
                  <c:v>0.14027300000000001</c:v>
                </c:pt>
                <c:pt idx="2">
                  <c:v>0.115233</c:v>
                </c:pt>
                <c:pt idx="3">
                  <c:v>0.115233</c:v>
                </c:pt>
                <c:pt idx="4">
                  <c:v>8.9077000000000003E-2</c:v>
                </c:pt>
                <c:pt idx="5">
                  <c:v>0.10910600000000001</c:v>
                </c:pt>
                <c:pt idx="6">
                  <c:v>0.10339999999999999</c:v>
                </c:pt>
                <c:pt idx="7">
                  <c:v>0.122743</c:v>
                </c:pt>
                <c:pt idx="8">
                  <c:v>0.130081</c:v>
                </c:pt>
                <c:pt idx="9">
                  <c:v>0.114328</c:v>
                </c:pt>
              </c:numCache>
            </c:numRef>
          </c:val>
          <c:smooth val="0"/>
          <c:extLst>
            <c:ext xmlns:c16="http://schemas.microsoft.com/office/drawing/2014/chart" uri="{C3380CC4-5D6E-409C-BE32-E72D297353CC}">
              <c16:uniqueId val="{00000001-8D71-42CF-99A6-46FF8790B1F4}"/>
            </c:ext>
          </c:extLst>
        </c:ser>
        <c:ser>
          <c:idx val="2"/>
          <c:order val="2"/>
          <c:tx>
            <c:strRef>
              <c:f>Profitability!$B$10</c:f>
              <c:strCache>
                <c:ptCount val="1"/>
                <c:pt idx="0">
                  <c:v>NYSE:PWR</c:v>
                </c:pt>
              </c:strCache>
            </c:strRef>
          </c:tx>
          <c:spPr>
            <a:ln w="28575" cap="rnd">
              <a:solidFill>
                <a:schemeClr val="accent3"/>
              </a:solidFill>
              <a:round/>
            </a:ln>
            <a:effectLst/>
          </c:spPr>
          <c:marker>
            <c:symbol val="none"/>
          </c:marker>
          <c:cat>
            <c:numRef>
              <c:f>Profitability!$D$7:$M$7</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Profitability!$D$10:$M$10</c:f>
              <c:numCache>
                <c:formatCode>0.0%_);\(0.0%\);0.0%_);</c:formatCode>
                <c:ptCount val="10"/>
                <c:pt idx="0">
                  <c:v>0.15392899999999998</c:v>
                </c:pt>
                <c:pt idx="1">
                  <c:v>0.150866</c:v>
                </c:pt>
                <c:pt idx="2">
                  <c:v>0.12197699999999999</c:v>
                </c:pt>
                <c:pt idx="3">
                  <c:v>0.12197699999999999</c:v>
                </c:pt>
                <c:pt idx="4">
                  <c:v>0.131185</c:v>
                </c:pt>
                <c:pt idx="5">
                  <c:v>0.13247700000000001</c:v>
                </c:pt>
                <c:pt idx="6">
                  <c:v>0.13211899999999999</c:v>
                </c:pt>
                <c:pt idx="7">
                  <c:v>0.148254</c:v>
                </c:pt>
                <c:pt idx="8">
                  <c:v>0.150479</c:v>
                </c:pt>
                <c:pt idx="9">
                  <c:v>0.14812900000000001</c:v>
                </c:pt>
              </c:numCache>
            </c:numRef>
          </c:val>
          <c:smooth val="0"/>
          <c:extLst>
            <c:ext xmlns:c16="http://schemas.microsoft.com/office/drawing/2014/chart" uri="{C3380CC4-5D6E-409C-BE32-E72D297353CC}">
              <c16:uniqueId val="{00000002-8D71-42CF-99A6-46FF8790B1F4}"/>
            </c:ext>
          </c:extLst>
        </c:ser>
        <c:dLbls>
          <c:showLegendKey val="0"/>
          <c:showVal val="0"/>
          <c:showCatName val="0"/>
          <c:showSerName val="0"/>
          <c:showPercent val="0"/>
          <c:showBubbleSize val="0"/>
        </c:dLbls>
        <c:smooth val="0"/>
        <c:axId val="751270479"/>
        <c:axId val="751269231"/>
      </c:lineChart>
      <c:dateAx>
        <c:axId val="751270479"/>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751269231"/>
        <c:crosses val="autoZero"/>
        <c:auto val="1"/>
        <c:lblOffset val="100"/>
        <c:baseTimeUnit val="years"/>
      </c:dateAx>
      <c:valAx>
        <c:axId val="751269231"/>
        <c:scaling>
          <c:orientation val="minMax"/>
          <c:max val="0.2"/>
        </c:scaling>
        <c:delete val="0"/>
        <c:axPos val="l"/>
        <c:numFmt formatCode="0.0%_);\(0.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751270479"/>
        <c:crosses val="autoZero"/>
        <c:crossBetween val="between"/>
        <c:majorUnit val="4.0000000000000008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Net Income Margin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Profitability!$B$14</c:f>
              <c:strCache>
                <c:ptCount val="1"/>
                <c:pt idx="0">
                  <c:v>NYSE:MTZ</c:v>
                </c:pt>
              </c:strCache>
            </c:strRef>
          </c:tx>
          <c:spPr>
            <a:ln w="28575" cap="rnd">
              <a:solidFill>
                <a:schemeClr val="accent1"/>
              </a:solidFill>
              <a:round/>
            </a:ln>
            <a:effectLst/>
          </c:spPr>
          <c:marker>
            <c:symbol val="none"/>
          </c:marker>
          <c:cat>
            <c:numRef>
              <c:f>Profitability!$D$13:$M$13</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Profitability!$D$14:$M$14</c:f>
              <c:numCache>
                <c:formatCode>0.0%_);\(0.0%\);0.0%_);</c:formatCode>
                <c:ptCount val="10"/>
                <c:pt idx="0">
                  <c:v>3.2591000000000002E-2</c:v>
                </c:pt>
                <c:pt idx="1">
                  <c:v>2.5135999999999999E-2</c:v>
                </c:pt>
                <c:pt idx="2">
                  <c:v>-1.8797999999999999E-2</c:v>
                </c:pt>
                <c:pt idx="3">
                  <c:v>-1.8797999999999999E-2</c:v>
                </c:pt>
                <c:pt idx="4">
                  <c:v>5.2552000000000001E-2</c:v>
                </c:pt>
                <c:pt idx="5">
                  <c:v>3.7580000000000002E-2</c:v>
                </c:pt>
                <c:pt idx="6">
                  <c:v>5.4618E-2</c:v>
                </c:pt>
                <c:pt idx="7">
                  <c:v>5.1075000000000002E-2</c:v>
                </c:pt>
                <c:pt idx="8">
                  <c:v>4.1353000000000001E-2</c:v>
                </c:pt>
                <c:pt idx="9">
                  <c:v>3.411E-3</c:v>
                </c:pt>
              </c:numCache>
            </c:numRef>
          </c:val>
          <c:smooth val="0"/>
          <c:extLst>
            <c:ext xmlns:c16="http://schemas.microsoft.com/office/drawing/2014/chart" uri="{C3380CC4-5D6E-409C-BE32-E72D297353CC}">
              <c16:uniqueId val="{00000000-7B53-48DF-80B8-4CDF756D541B}"/>
            </c:ext>
          </c:extLst>
        </c:ser>
        <c:ser>
          <c:idx val="1"/>
          <c:order val="1"/>
          <c:tx>
            <c:strRef>
              <c:f>Profitability!$B$15</c:f>
              <c:strCache>
                <c:ptCount val="1"/>
                <c:pt idx="0">
                  <c:v>NASDAQ:MYRG</c:v>
                </c:pt>
              </c:strCache>
            </c:strRef>
          </c:tx>
          <c:spPr>
            <a:ln w="28575" cap="rnd">
              <a:solidFill>
                <a:schemeClr val="accent2"/>
              </a:solidFill>
              <a:round/>
            </a:ln>
            <a:effectLst/>
          </c:spPr>
          <c:marker>
            <c:symbol val="none"/>
          </c:marker>
          <c:cat>
            <c:numRef>
              <c:f>Profitability!$D$13:$M$13</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Profitability!$D$15:$M$15</c:f>
              <c:numCache>
                <c:formatCode>0.0%_);\(0.0%\);0.0%_);</c:formatCode>
                <c:ptCount val="10"/>
                <c:pt idx="0">
                  <c:v>3.8504000000000004E-2</c:v>
                </c:pt>
                <c:pt idx="1">
                  <c:v>3.8713000000000004E-2</c:v>
                </c:pt>
                <c:pt idx="2">
                  <c:v>2.5714999999999998E-2</c:v>
                </c:pt>
                <c:pt idx="3">
                  <c:v>2.5714999999999998E-2</c:v>
                </c:pt>
                <c:pt idx="4">
                  <c:v>1.5074000000000001E-2</c:v>
                </c:pt>
                <c:pt idx="5">
                  <c:v>2.0301999999999997E-2</c:v>
                </c:pt>
                <c:pt idx="6">
                  <c:v>1.8197000000000001E-2</c:v>
                </c:pt>
                <c:pt idx="7">
                  <c:v>2.6145000000000002E-2</c:v>
                </c:pt>
                <c:pt idx="8">
                  <c:v>3.4027000000000002E-2</c:v>
                </c:pt>
                <c:pt idx="9">
                  <c:v>2.7713999999999999E-2</c:v>
                </c:pt>
              </c:numCache>
            </c:numRef>
          </c:val>
          <c:smooth val="0"/>
          <c:extLst>
            <c:ext xmlns:c16="http://schemas.microsoft.com/office/drawing/2014/chart" uri="{C3380CC4-5D6E-409C-BE32-E72D297353CC}">
              <c16:uniqueId val="{00000001-7B53-48DF-80B8-4CDF756D541B}"/>
            </c:ext>
          </c:extLst>
        </c:ser>
        <c:ser>
          <c:idx val="2"/>
          <c:order val="2"/>
          <c:tx>
            <c:strRef>
              <c:f>Profitability!$B$16</c:f>
              <c:strCache>
                <c:ptCount val="1"/>
                <c:pt idx="0">
                  <c:v>NYSE:PWR</c:v>
                </c:pt>
              </c:strCache>
            </c:strRef>
          </c:tx>
          <c:spPr>
            <a:ln w="28575" cap="rnd">
              <a:solidFill>
                <a:schemeClr val="accent3"/>
              </a:solidFill>
              <a:round/>
            </a:ln>
            <a:effectLst/>
          </c:spPr>
          <c:marker>
            <c:symbol val="none"/>
          </c:marker>
          <c:cat>
            <c:numRef>
              <c:f>Profitability!$D$13:$M$13</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Profitability!$D$16:$M$16</c:f>
              <c:numCache>
                <c:formatCode>0.0%_);\(0.0%\);0.0%_);</c:formatCode>
                <c:ptCount val="10"/>
                <c:pt idx="0">
                  <c:v>6.2686000000000006E-2</c:v>
                </c:pt>
                <c:pt idx="1">
                  <c:v>3.8299E-2</c:v>
                </c:pt>
                <c:pt idx="2">
                  <c:v>4.1056999999999996E-2</c:v>
                </c:pt>
                <c:pt idx="3">
                  <c:v>4.1056999999999996E-2</c:v>
                </c:pt>
                <c:pt idx="4">
                  <c:v>3.3271999999999996E-2</c:v>
                </c:pt>
                <c:pt idx="5">
                  <c:v>2.6258E-2</c:v>
                </c:pt>
                <c:pt idx="6">
                  <c:v>3.3193E-2</c:v>
                </c:pt>
                <c:pt idx="7">
                  <c:v>3.9774999999999998E-2</c:v>
                </c:pt>
                <c:pt idx="8">
                  <c:v>3.7437999999999999E-2</c:v>
                </c:pt>
                <c:pt idx="9">
                  <c:v>2.8767999999999998E-2</c:v>
                </c:pt>
              </c:numCache>
            </c:numRef>
          </c:val>
          <c:smooth val="0"/>
          <c:extLst>
            <c:ext xmlns:c16="http://schemas.microsoft.com/office/drawing/2014/chart" uri="{C3380CC4-5D6E-409C-BE32-E72D297353CC}">
              <c16:uniqueId val="{00000002-7B53-48DF-80B8-4CDF756D541B}"/>
            </c:ext>
          </c:extLst>
        </c:ser>
        <c:dLbls>
          <c:showLegendKey val="0"/>
          <c:showVal val="0"/>
          <c:showCatName val="0"/>
          <c:showSerName val="0"/>
          <c:showPercent val="0"/>
          <c:showBubbleSize val="0"/>
        </c:dLbls>
        <c:smooth val="0"/>
        <c:axId val="1079813263"/>
        <c:axId val="1079814095"/>
      </c:lineChart>
      <c:dateAx>
        <c:axId val="1079813263"/>
        <c:scaling>
          <c:orientation val="minMax"/>
        </c:scaling>
        <c:delete val="0"/>
        <c:axPos val="b"/>
        <c:numFmt formatCode="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079814095"/>
        <c:crosses val="autoZero"/>
        <c:auto val="0"/>
        <c:lblOffset val="100"/>
        <c:baseTimeUnit val="years"/>
      </c:dateAx>
      <c:valAx>
        <c:axId val="1079814095"/>
        <c:scaling>
          <c:orientation val="minMax"/>
          <c:max val="0.15000000000000002"/>
          <c:min val="-5.000000000000001E-2"/>
        </c:scaling>
        <c:delete val="0"/>
        <c:axPos val="l"/>
        <c:numFmt formatCode="0.0%_);\(0.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079813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EBIT Margin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Profitability!$B$20</c:f>
              <c:strCache>
                <c:ptCount val="1"/>
                <c:pt idx="0">
                  <c:v>NYSE:MTZ</c:v>
                </c:pt>
              </c:strCache>
            </c:strRef>
          </c:tx>
          <c:spPr>
            <a:ln w="28575" cap="rnd">
              <a:solidFill>
                <a:schemeClr val="accent1"/>
              </a:solidFill>
              <a:round/>
            </a:ln>
            <a:effectLst/>
          </c:spPr>
          <c:marker>
            <c:symbol val="none"/>
          </c:marker>
          <c:cat>
            <c:numRef>
              <c:f>Profitability!$D$19:$M$19</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Profitability!$D$20:$M$20</c:f>
              <c:numCache>
                <c:formatCode>0.0%_);\(0.0%\);0.0%_);</c:formatCode>
                <c:ptCount val="10"/>
                <c:pt idx="0">
                  <c:v>6.6590999999999997E-2</c:v>
                </c:pt>
                <c:pt idx="1">
                  <c:v>5.3423999999999999E-2</c:v>
                </c:pt>
                <c:pt idx="2">
                  <c:v>1.6455999999999998E-2</c:v>
                </c:pt>
                <c:pt idx="3">
                  <c:v>1.6455999999999998E-2</c:v>
                </c:pt>
                <c:pt idx="4">
                  <c:v>6.0407999999999996E-2</c:v>
                </c:pt>
                <c:pt idx="5">
                  <c:v>6.8007999999999999E-2</c:v>
                </c:pt>
                <c:pt idx="6">
                  <c:v>8.2428000000000001E-2</c:v>
                </c:pt>
                <c:pt idx="7">
                  <c:v>7.1406999999999998E-2</c:v>
                </c:pt>
                <c:pt idx="8">
                  <c:v>5.3227000000000003E-2</c:v>
                </c:pt>
                <c:pt idx="9">
                  <c:v>2.2848999999999998E-2</c:v>
                </c:pt>
              </c:numCache>
            </c:numRef>
          </c:val>
          <c:smooth val="0"/>
          <c:extLst>
            <c:ext xmlns:c16="http://schemas.microsoft.com/office/drawing/2014/chart" uri="{C3380CC4-5D6E-409C-BE32-E72D297353CC}">
              <c16:uniqueId val="{00000000-79FC-46D0-9866-E525C4F13BA5}"/>
            </c:ext>
          </c:extLst>
        </c:ser>
        <c:ser>
          <c:idx val="1"/>
          <c:order val="1"/>
          <c:tx>
            <c:strRef>
              <c:f>Profitability!$B$21</c:f>
              <c:strCache>
                <c:ptCount val="1"/>
                <c:pt idx="0">
                  <c:v>NASDAQ:MYRG</c:v>
                </c:pt>
              </c:strCache>
            </c:strRef>
          </c:tx>
          <c:spPr>
            <a:ln w="28575" cap="rnd">
              <a:solidFill>
                <a:schemeClr val="accent2"/>
              </a:solidFill>
              <a:round/>
            </a:ln>
            <a:effectLst/>
          </c:spPr>
          <c:marker>
            <c:symbol val="none"/>
          </c:marker>
          <c:cat>
            <c:numRef>
              <c:f>Profitability!$D$19:$M$19</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Profitability!$D$21:$M$21</c:f>
              <c:numCache>
                <c:formatCode>0.0%_);\(0.0%\);0.0%_);</c:formatCode>
                <c:ptCount val="10"/>
                <c:pt idx="0">
                  <c:v>6.062E-2</c:v>
                </c:pt>
                <c:pt idx="1">
                  <c:v>5.9283000000000002E-2</c:v>
                </c:pt>
                <c:pt idx="2">
                  <c:v>4.0298E-2</c:v>
                </c:pt>
                <c:pt idx="3">
                  <c:v>4.0298E-2</c:v>
                </c:pt>
                <c:pt idx="4">
                  <c:v>1.8450999999999999E-2</c:v>
                </c:pt>
                <c:pt idx="5">
                  <c:v>3.0355E-2</c:v>
                </c:pt>
                <c:pt idx="6">
                  <c:v>2.5895999999999999E-2</c:v>
                </c:pt>
                <c:pt idx="7">
                  <c:v>3.7256999999999998E-2</c:v>
                </c:pt>
                <c:pt idx="8">
                  <c:v>4.6216E-2</c:v>
                </c:pt>
                <c:pt idx="9">
                  <c:v>3.7402999999999999E-2</c:v>
                </c:pt>
              </c:numCache>
            </c:numRef>
          </c:val>
          <c:smooth val="0"/>
          <c:extLst>
            <c:ext xmlns:c16="http://schemas.microsoft.com/office/drawing/2014/chart" uri="{C3380CC4-5D6E-409C-BE32-E72D297353CC}">
              <c16:uniqueId val="{00000001-79FC-46D0-9866-E525C4F13BA5}"/>
            </c:ext>
          </c:extLst>
        </c:ser>
        <c:ser>
          <c:idx val="2"/>
          <c:order val="2"/>
          <c:tx>
            <c:strRef>
              <c:f>Profitability!$B$22</c:f>
              <c:strCache>
                <c:ptCount val="1"/>
                <c:pt idx="0">
                  <c:v>NYSE:PWR</c:v>
                </c:pt>
              </c:strCache>
            </c:strRef>
          </c:tx>
          <c:spPr>
            <a:ln w="28575" cap="rnd">
              <a:solidFill>
                <a:schemeClr val="accent3"/>
              </a:solidFill>
              <a:round/>
            </a:ln>
            <a:effectLst/>
          </c:spPr>
          <c:marker>
            <c:symbol val="none"/>
          </c:marker>
          <c:cat>
            <c:numRef>
              <c:f>Profitability!$D$19:$M$19</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Profitability!$D$22:$M$22</c:f>
              <c:numCache>
                <c:formatCode>0.0%_);\(0.0%\);0.0%_);</c:formatCode>
                <c:ptCount val="10"/>
                <c:pt idx="0">
                  <c:v>7.424E-2</c:v>
                </c:pt>
                <c:pt idx="1">
                  <c:v>6.1886999999999998E-2</c:v>
                </c:pt>
                <c:pt idx="2">
                  <c:v>3.9558000000000003E-2</c:v>
                </c:pt>
                <c:pt idx="3">
                  <c:v>3.9558000000000003E-2</c:v>
                </c:pt>
                <c:pt idx="4">
                  <c:v>4.5606000000000001E-2</c:v>
                </c:pt>
                <c:pt idx="5">
                  <c:v>5.1773999999999994E-2</c:v>
                </c:pt>
                <c:pt idx="6">
                  <c:v>4.8064000000000003E-2</c:v>
                </c:pt>
                <c:pt idx="7">
                  <c:v>5.4368E-2</c:v>
                </c:pt>
                <c:pt idx="8">
                  <c:v>4.8684000000000005E-2</c:v>
                </c:pt>
                <c:pt idx="9">
                  <c:v>4.9107999999999999E-2</c:v>
                </c:pt>
              </c:numCache>
            </c:numRef>
          </c:val>
          <c:smooth val="0"/>
          <c:extLst>
            <c:ext xmlns:c16="http://schemas.microsoft.com/office/drawing/2014/chart" uri="{C3380CC4-5D6E-409C-BE32-E72D297353CC}">
              <c16:uniqueId val="{00000002-79FC-46D0-9866-E525C4F13BA5}"/>
            </c:ext>
          </c:extLst>
        </c:ser>
        <c:dLbls>
          <c:showLegendKey val="0"/>
          <c:showVal val="0"/>
          <c:showCatName val="0"/>
          <c:showSerName val="0"/>
          <c:showPercent val="0"/>
          <c:showBubbleSize val="0"/>
        </c:dLbls>
        <c:smooth val="0"/>
        <c:axId val="1786791999"/>
        <c:axId val="1786789919"/>
      </c:lineChart>
      <c:dateAx>
        <c:axId val="1786791999"/>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786789919"/>
        <c:crosses val="autoZero"/>
        <c:auto val="1"/>
        <c:lblOffset val="100"/>
        <c:baseTimeUnit val="years"/>
      </c:dateAx>
      <c:valAx>
        <c:axId val="1786789919"/>
        <c:scaling>
          <c:orientation val="minMax"/>
          <c:max val="0.1"/>
        </c:scaling>
        <c:delete val="0"/>
        <c:axPos val="l"/>
        <c:numFmt formatCode="0.0%_);\(0.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786791999"/>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b="1"/>
              <a:t>EBITDA Margin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Profitability!$B$26</c:f>
              <c:strCache>
                <c:ptCount val="1"/>
                <c:pt idx="0">
                  <c:v>NYSE:MTZ</c:v>
                </c:pt>
              </c:strCache>
            </c:strRef>
          </c:tx>
          <c:spPr>
            <a:ln w="28575" cap="rnd">
              <a:solidFill>
                <a:schemeClr val="accent1"/>
              </a:solidFill>
              <a:round/>
            </a:ln>
            <a:effectLst/>
          </c:spPr>
          <c:marker>
            <c:symbol val="none"/>
          </c:marker>
          <c:cat>
            <c:numRef>
              <c:f>Profitability!$D$25:$M$25</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Profitability!$D$26:$M$26</c:f>
              <c:numCache>
                <c:formatCode>0.0%_);\(0.0%\);0.0%_);</c:formatCode>
                <c:ptCount val="10"/>
                <c:pt idx="0">
                  <c:v>9.9176E-2</c:v>
                </c:pt>
                <c:pt idx="1">
                  <c:v>8.6914999999999992E-2</c:v>
                </c:pt>
                <c:pt idx="2">
                  <c:v>5.6772000000000003E-2</c:v>
                </c:pt>
                <c:pt idx="3">
                  <c:v>5.6772000000000003E-2</c:v>
                </c:pt>
                <c:pt idx="4">
                  <c:v>8.8870000000000005E-2</c:v>
                </c:pt>
                <c:pt idx="5">
                  <c:v>9.8825999999999997E-2</c:v>
                </c:pt>
                <c:pt idx="6">
                  <c:v>0.11521100000000001</c:v>
                </c:pt>
                <c:pt idx="7">
                  <c:v>0.11851200000000001</c:v>
                </c:pt>
                <c:pt idx="8">
                  <c:v>0.10640000000000001</c:v>
                </c:pt>
                <c:pt idx="9">
                  <c:v>7.4715000000000004E-2</c:v>
                </c:pt>
              </c:numCache>
            </c:numRef>
          </c:val>
          <c:smooth val="0"/>
          <c:extLst>
            <c:ext xmlns:c16="http://schemas.microsoft.com/office/drawing/2014/chart" uri="{C3380CC4-5D6E-409C-BE32-E72D297353CC}">
              <c16:uniqueId val="{00000000-F94D-463F-BD6C-DDD2D5A90EC6}"/>
            </c:ext>
          </c:extLst>
        </c:ser>
        <c:ser>
          <c:idx val="1"/>
          <c:order val="1"/>
          <c:tx>
            <c:strRef>
              <c:f>Profitability!$B$27</c:f>
              <c:strCache>
                <c:ptCount val="1"/>
                <c:pt idx="0">
                  <c:v>NASDAQ:MYRG</c:v>
                </c:pt>
              </c:strCache>
            </c:strRef>
          </c:tx>
          <c:spPr>
            <a:ln w="28575" cap="rnd">
              <a:solidFill>
                <a:schemeClr val="accent2"/>
              </a:solidFill>
              <a:round/>
            </a:ln>
            <a:effectLst/>
          </c:spPr>
          <c:marker>
            <c:symbol val="none"/>
          </c:marker>
          <c:cat>
            <c:numRef>
              <c:f>Profitability!$D$25:$M$25</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Profitability!$D$27:$M$27</c:f>
              <c:numCache>
                <c:formatCode>0.0%_);\(0.0%\);0.0%_);</c:formatCode>
                <c:ptCount val="10"/>
                <c:pt idx="0">
                  <c:v>9.2960999999999988E-2</c:v>
                </c:pt>
                <c:pt idx="1">
                  <c:v>9.4689999999999996E-2</c:v>
                </c:pt>
                <c:pt idx="2">
                  <c:v>7.6117000000000004E-2</c:v>
                </c:pt>
                <c:pt idx="3">
                  <c:v>7.6117000000000004E-2</c:v>
                </c:pt>
                <c:pt idx="4">
                  <c:v>4.5941000000000003E-2</c:v>
                </c:pt>
                <c:pt idx="5">
                  <c:v>5.6422E-2</c:v>
                </c:pt>
                <c:pt idx="6">
                  <c:v>4.7389000000000001E-2</c:v>
                </c:pt>
                <c:pt idx="7">
                  <c:v>5.7926999999999999E-2</c:v>
                </c:pt>
                <c:pt idx="8">
                  <c:v>6.4711000000000005E-2</c:v>
                </c:pt>
                <c:pt idx="9">
                  <c:v>5.6737999999999997E-2</c:v>
                </c:pt>
              </c:numCache>
            </c:numRef>
          </c:val>
          <c:smooth val="0"/>
          <c:extLst>
            <c:ext xmlns:c16="http://schemas.microsoft.com/office/drawing/2014/chart" uri="{C3380CC4-5D6E-409C-BE32-E72D297353CC}">
              <c16:uniqueId val="{00000001-F94D-463F-BD6C-DDD2D5A90EC6}"/>
            </c:ext>
          </c:extLst>
        </c:ser>
        <c:ser>
          <c:idx val="2"/>
          <c:order val="2"/>
          <c:tx>
            <c:strRef>
              <c:f>Profitability!$B$28</c:f>
              <c:strCache>
                <c:ptCount val="1"/>
                <c:pt idx="0">
                  <c:v>NYSE:PWR</c:v>
                </c:pt>
              </c:strCache>
            </c:strRef>
          </c:tx>
          <c:spPr>
            <a:ln w="28575" cap="rnd">
              <a:solidFill>
                <a:schemeClr val="accent3"/>
              </a:solidFill>
              <a:round/>
            </a:ln>
            <a:effectLst/>
          </c:spPr>
          <c:marker>
            <c:symbol val="none"/>
          </c:marker>
          <c:cat>
            <c:numRef>
              <c:f>Profitability!$D$25:$M$25</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Profitability!$D$28:$M$28</c:f>
              <c:numCache>
                <c:formatCode>0.0%_);\(0.0%\);0.0%_);</c:formatCode>
                <c:ptCount val="10"/>
                <c:pt idx="0">
                  <c:v>9.6807999999999991E-2</c:v>
                </c:pt>
                <c:pt idx="1">
                  <c:v>8.4522999999999987E-2</c:v>
                </c:pt>
                <c:pt idx="2">
                  <c:v>6.5665000000000001E-2</c:v>
                </c:pt>
                <c:pt idx="3">
                  <c:v>6.5665000000000001E-2</c:v>
                </c:pt>
                <c:pt idx="4">
                  <c:v>6.8425E-2</c:v>
                </c:pt>
                <c:pt idx="5">
                  <c:v>7.3840000000000003E-2</c:v>
                </c:pt>
                <c:pt idx="6">
                  <c:v>7.1197999999999997E-2</c:v>
                </c:pt>
                <c:pt idx="7">
                  <c:v>8.1321999999999992E-2</c:v>
                </c:pt>
                <c:pt idx="8">
                  <c:v>8.1110000000000002E-2</c:v>
                </c:pt>
                <c:pt idx="9">
                  <c:v>8.6862999999999996E-2</c:v>
                </c:pt>
              </c:numCache>
            </c:numRef>
          </c:val>
          <c:smooth val="0"/>
          <c:extLst>
            <c:ext xmlns:c16="http://schemas.microsoft.com/office/drawing/2014/chart" uri="{C3380CC4-5D6E-409C-BE32-E72D297353CC}">
              <c16:uniqueId val="{00000002-F94D-463F-BD6C-DDD2D5A90EC6}"/>
            </c:ext>
          </c:extLst>
        </c:ser>
        <c:dLbls>
          <c:showLegendKey val="0"/>
          <c:showVal val="0"/>
          <c:showCatName val="0"/>
          <c:showSerName val="0"/>
          <c:showPercent val="0"/>
          <c:showBubbleSize val="0"/>
        </c:dLbls>
        <c:smooth val="0"/>
        <c:axId val="746741823"/>
        <c:axId val="746719359"/>
      </c:lineChart>
      <c:dateAx>
        <c:axId val="746741823"/>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746719359"/>
        <c:crosses val="autoZero"/>
        <c:auto val="1"/>
        <c:lblOffset val="100"/>
        <c:baseTimeUnit val="years"/>
      </c:dateAx>
      <c:valAx>
        <c:axId val="746719359"/>
        <c:scaling>
          <c:orientation val="minMax"/>
          <c:max val="0.15000000000000002"/>
        </c:scaling>
        <c:delete val="0"/>
        <c:axPos val="l"/>
        <c:numFmt formatCode="0.0%_);\(0.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746741823"/>
        <c:crosses val="autoZero"/>
        <c:crossBetween val="between"/>
        <c:majorUnit val="3.0000000000000006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b="1"/>
              <a:t>Return On Assets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Profitability!$B$32</c:f>
              <c:strCache>
                <c:ptCount val="1"/>
                <c:pt idx="0">
                  <c:v>NYSE:MTZ</c:v>
                </c:pt>
              </c:strCache>
            </c:strRef>
          </c:tx>
          <c:spPr>
            <a:ln w="28575" cap="rnd">
              <a:solidFill>
                <a:schemeClr val="accent1"/>
              </a:solidFill>
              <a:round/>
            </a:ln>
            <a:effectLst/>
          </c:spPr>
          <c:marker>
            <c:symbol val="none"/>
          </c:marker>
          <c:cat>
            <c:numRef>
              <c:f>Profitability!$D$31:$M$31</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Profitability!$D$32:$M$32</c:f>
              <c:numCache>
                <c:formatCode>0.0%_);\(0.0%\);0.0%_);</c:formatCode>
                <c:ptCount val="10"/>
                <c:pt idx="0">
                  <c:v>6.7419999999999994E-2</c:v>
                </c:pt>
                <c:pt idx="1">
                  <c:v>4.7473999999999995E-2</c:v>
                </c:pt>
                <c:pt idx="2">
                  <c:v>1.3335999999999999E-2</c:v>
                </c:pt>
                <c:pt idx="3">
                  <c:v>1.3335999999999999E-2</c:v>
                </c:pt>
                <c:pt idx="4">
                  <c:v>6.8816000000000002E-2</c:v>
                </c:pt>
                <c:pt idx="5">
                  <c:v>6.905E-2</c:v>
                </c:pt>
                <c:pt idx="6">
                  <c:v>7.8427999999999998E-2</c:v>
                </c:pt>
                <c:pt idx="7">
                  <c:v>5.5178999999999999E-2</c:v>
                </c:pt>
                <c:pt idx="8">
                  <c:v>4.2840999999999997E-2</c:v>
                </c:pt>
                <c:pt idx="9">
                  <c:v>1.7013E-2</c:v>
                </c:pt>
              </c:numCache>
            </c:numRef>
          </c:val>
          <c:smooth val="0"/>
          <c:extLst>
            <c:ext xmlns:c16="http://schemas.microsoft.com/office/drawing/2014/chart" uri="{C3380CC4-5D6E-409C-BE32-E72D297353CC}">
              <c16:uniqueId val="{00000000-ED9E-424F-948C-F10218073BA9}"/>
            </c:ext>
          </c:extLst>
        </c:ser>
        <c:ser>
          <c:idx val="1"/>
          <c:order val="1"/>
          <c:tx>
            <c:strRef>
              <c:f>Profitability!$B$33</c:f>
              <c:strCache>
                <c:ptCount val="1"/>
                <c:pt idx="0">
                  <c:v>NASDAQ:MYRG</c:v>
                </c:pt>
              </c:strCache>
            </c:strRef>
          </c:tx>
          <c:spPr>
            <a:ln w="28575" cap="rnd">
              <a:solidFill>
                <a:schemeClr val="accent2"/>
              </a:solidFill>
              <a:round/>
            </a:ln>
            <a:effectLst/>
          </c:spPr>
          <c:marker>
            <c:symbol val="none"/>
          </c:marker>
          <c:cat>
            <c:numRef>
              <c:f>Profitability!$D$31:$M$31</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Profitability!$D$33:$M$33</c:f>
              <c:numCache>
                <c:formatCode>0.0%_);\(0.0%\);0.0%_);</c:formatCode>
                <c:ptCount val="10"/>
                <c:pt idx="0">
                  <c:v>6.8971999999999992E-2</c:v>
                </c:pt>
                <c:pt idx="1">
                  <c:v>6.6906999999999994E-2</c:v>
                </c:pt>
                <c:pt idx="2">
                  <c:v>5.1176000000000006E-2</c:v>
                </c:pt>
                <c:pt idx="3">
                  <c:v>5.1176000000000006E-2</c:v>
                </c:pt>
                <c:pt idx="4">
                  <c:v>2.7493E-2</c:v>
                </c:pt>
                <c:pt idx="5">
                  <c:v>4.2956000000000001E-2</c:v>
                </c:pt>
                <c:pt idx="6">
                  <c:v>3.8166000000000005E-2</c:v>
                </c:pt>
                <c:pt idx="7">
                  <c:v>5.2234999999999997E-2</c:v>
                </c:pt>
                <c:pt idx="8">
                  <c:v>6.8177000000000001E-2</c:v>
                </c:pt>
                <c:pt idx="9">
                  <c:v>5.5819000000000001E-2</c:v>
                </c:pt>
              </c:numCache>
            </c:numRef>
          </c:val>
          <c:smooth val="0"/>
          <c:extLst>
            <c:ext xmlns:c16="http://schemas.microsoft.com/office/drawing/2014/chart" uri="{C3380CC4-5D6E-409C-BE32-E72D297353CC}">
              <c16:uniqueId val="{00000001-ED9E-424F-948C-F10218073BA9}"/>
            </c:ext>
          </c:extLst>
        </c:ser>
        <c:ser>
          <c:idx val="2"/>
          <c:order val="2"/>
          <c:tx>
            <c:strRef>
              <c:f>Profitability!$B$34</c:f>
              <c:strCache>
                <c:ptCount val="1"/>
                <c:pt idx="0">
                  <c:v>NYSE:PWR</c:v>
                </c:pt>
              </c:strCache>
            </c:strRef>
          </c:tx>
          <c:spPr>
            <a:ln w="28575" cap="rnd">
              <a:solidFill>
                <a:schemeClr val="accent3"/>
              </a:solidFill>
              <a:round/>
            </a:ln>
            <a:effectLst/>
          </c:spPr>
          <c:marker>
            <c:symbol val="none"/>
          </c:marker>
          <c:cat>
            <c:numRef>
              <c:f>Profitability!$D$31:$M$31</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Profitability!$D$34:$M$34</c:f>
              <c:numCache>
                <c:formatCode>0.0%_);\(0.0%\);0.0%_);</c:formatCode>
                <c:ptCount val="10"/>
                <c:pt idx="0">
                  <c:v>5.4417E-2</c:v>
                </c:pt>
                <c:pt idx="1">
                  <c:v>4.9749000000000002E-2</c:v>
                </c:pt>
                <c:pt idx="2">
                  <c:v>3.2653000000000001E-2</c:v>
                </c:pt>
                <c:pt idx="3">
                  <c:v>3.2653000000000001E-2</c:v>
                </c:pt>
                <c:pt idx="4">
                  <c:v>4.5602000000000004E-2</c:v>
                </c:pt>
                <c:pt idx="5">
                  <c:v>5.3333999999999999E-2</c:v>
                </c:pt>
                <c:pt idx="6">
                  <c:v>4.7230999999999995E-2</c:v>
                </c:pt>
                <c:pt idx="7">
                  <c:v>4.5506999999999999E-2</c:v>
                </c:pt>
                <c:pt idx="8">
                  <c:v>3.7166000000000005E-2</c:v>
                </c:pt>
                <c:pt idx="9">
                  <c:v>3.9821000000000002E-2</c:v>
                </c:pt>
              </c:numCache>
            </c:numRef>
          </c:val>
          <c:smooth val="0"/>
          <c:extLst>
            <c:ext xmlns:c16="http://schemas.microsoft.com/office/drawing/2014/chart" uri="{C3380CC4-5D6E-409C-BE32-E72D297353CC}">
              <c16:uniqueId val="{00000002-ED9E-424F-948C-F10218073BA9}"/>
            </c:ext>
          </c:extLst>
        </c:ser>
        <c:dLbls>
          <c:showLegendKey val="0"/>
          <c:showVal val="0"/>
          <c:showCatName val="0"/>
          <c:showSerName val="0"/>
          <c:showPercent val="0"/>
          <c:showBubbleSize val="0"/>
        </c:dLbls>
        <c:smooth val="0"/>
        <c:axId val="1069993903"/>
        <c:axId val="1069996399"/>
      </c:lineChart>
      <c:dateAx>
        <c:axId val="1069993903"/>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069996399"/>
        <c:crosses val="autoZero"/>
        <c:auto val="1"/>
        <c:lblOffset val="100"/>
        <c:baseTimeUnit val="years"/>
      </c:dateAx>
      <c:valAx>
        <c:axId val="1069996399"/>
        <c:scaling>
          <c:orientation val="minMax"/>
          <c:max val="0.1"/>
        </c:scaling>
        <c:delete val="0"/>
        <c:axPos val="l"/>
        <c:numFmt formatCode="0.0%_);\(0.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06999390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Return On Equity</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Profitability!$B$38</c:f>
              <c:strCache>
                <c:ptCount val="1"/>
                <c:pt idx="0">
                  <c:v>NYSE:MTZ</c:v>
                </c:pt>
              </c:strCache>
            </c:strRef>
          </c:tx>
          <c:spPr>
            <a:ln w="28575" cap="rnd">
              <a:solidFill>
                <a:schemeClr val="accent1"/>
              </a:solidFill>
              <a:round/>
            </a:ln>
            <a:effectLst/>
          </c:spPr>
          <c:marker>
            <c:symbol val="none"/>
          </c:marker>
          <c:cat>
            <c:numRef>
              <c:f>Profitability!$D$37:$M$37</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Profitability!$D$38:$M$38</c:f>
              <c:numCache>
                <c:formatCode>0.0%_);\(0.0%\);0.0%_);</c:formatCode>
                <c:ptCount val="10"/>
                <c:pt idx="0">
                  <c:v>0.15685299999999999</c:v>
                </c:pt>
                <c:pt idx="1">
                  <c:v>0.11248799999999999</c:v>
                </c:pt>
                <c:pt idx="2">
                  <c:v>-7.6216999999999993E-2</c:v>
                </c:pt>
                <c:pt idx="3">
                  <c:v>-7.6216999999999993E-2</c:v>
                </c:pt>
                <c:pt idx="4">
                  <c:v>0.275038</c:v>
                </c:pt>
                <c:pt idx="5">
                  <c:v>0.18350100000000003</c:v>
                </c:pt>
                <c:pt idx="6">
                  <c:v>0.24756900000000001</c:v>
                </c:pt>
                <c:pt idx="7">
                  <c:v>0.16996600000000001</c:v>
                </c:pt>
                <c:pt idx="8">
                  <c:v>0.145395</c:v>
                </c:pt>
                <c:pt idx="9">
                  <c:v>1.2824E-2</c:v>
                </c:pt>
              </c:numCache>
            </c:numRef>
          </c:val>
          <c:smooth val="0"/>
          <c:extLst>
            <c:ext xmlns:c16="http://schemas.microsoft.com/office/drawing/2014/chart" uri="{C3380CC4-5D6E-409C-BE32-E72D297353CC}">
              <c16:uniqueId val="{00000000-6C59-476D-B5CC-27A954E80712}"/>
            </c:ext>
          </c:extLst>
        </c:ser>
        <c:ser>
          <c:idx val="1"/>
          <c:order val="1"/>
          <c:tx>
            <c:strRef>
              <c:f>Profitability!$B$39</c:f>
              <c:strCache>
                <c:ptCount val="1"/>
                <c:pt idx="0">
                  <c:v>NASDAQ:MYRG</c:v>
                </c:pt>
              </c:strCache>
            </c:strRef>
          </c:tx>
          <c:spPr>
            <a:ln w="28575" cap="rnd">
              <a:solidFill>
                <a:schemeClr val="accent2"/>
              </a:solidFill>
              <a:round/>
            </a:ln>
            <a:effectLst/>
          </c:spPr>
          <c:marker>
            <c:symbol val="none"/>
          </c:marker>
          <c:cat>
            <c:numRef>
              <c:f>Profitability!$D$37:$M$37</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Profitability!$D$39:$M$39</c:f>
              <c:numCache>
                <c:formatCode>0.0%_);\(0.0%\);0.0%_);</c:formatCode>
                <c:ptCount val="10"/>
                <c:pt idx="0">
                  <c:v>0.126217</c:v>
                </c:pt>
                <c:pt idx="1">
                  <c:v>0.118142</c:v>
                </c:pt>
                <c:pt idx="2">
                  <c:v>8.3691999999999989E-2</c:v>
                </c:pt>
                <c:pt idx="3">
                  <c:v>8.3691999999999989E-2</c:v>
                </c:pt>
                <c:pt idx="4">
                  <c:v>7.6893000000000003E-2</c:v>
                </c:pt>
                <c:pt idx="5">
                  <c:v>0.102351</c:v>
                </c:pt>
                <c:pt idx="6">
                  <c:v>0.105129</c:v>
                </c:pt>
                <c:pt idx="7">
                  <c:v>0.14805099999999999</c:v>
                </c:pt>
                <c:pt idx="8">
                  <c:v>0.17926300000000001</c:v>
                </c:pt>
                <c:pt idx="9">
                  <c:v>0.15450900000000001</c:v>
                </c:pt>
              </c:numCache>
            </c:numRef>
          </c:val>
          <c:smooth val="0"/>
          <c:extLst>
            <c:ext xmlns:c16="http://schemas.microsoft.com/office/drawing/2014/chart" uri="{C3380CC4-5D6E-409C-BE32-E72D297353CC}">
              <c16:uniqueId val="{00000001-6C59-476D-B5CC-27A954E80712}"/>
            </c:ext>
          </c:extLst>
        </c:ser>
        <c:ser>
          <c:idx val="2"/>
          <c:order val="2"/>
          <c:tx>
            <c:strRef>
              <c:f>Profitability!$B$40</c:f>
              <c:strCache>
                <c:ptCount val="1"/>
                <c:pt idx="0">
                  <c:v>NYSE:PWR</c:v>
                </c:pt>
              </c:strCache>
            </c:strRef>
          </c:tx>
          <c:spPr>
            <a:ln w="28575" cap="rnd">
              <a:solidFill>
                <a:schemeClr val="accent3"/>
              </a:solidFill>
              <a:round/>
            </a:ln>
            <a:effectLst/>
          </c:spPr>
          <c:marker>
            <c:symbol val="none"/>
          </c:marker>
          <c:cat>
            <c:numRef>
              <c:f>Profitability!$D$37:$M$37</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Profitability!$D$40:$M$40</c:f>
              <c:numCache>
                <c:formatCode>0.0%_);\(0.0%\);0.0%_);</c:formatCode>
                <c:ptCount val="10"/>
                <c:pt idx="0">
                  <c:v>9.7698999999999994E-2</c:v>
                </c:pt>
                <c:pt idx="1">
                  <c:v>6.5608E-2</c:v>
                </c:pt>
                <c:pt idx="2">
                  <c:v>3.4466000000000004E-2</c:v>
                </c:pt>
                <c:pt idx="3">
                  <c:v>3.4466000000000004E-2</c:v>
                </c:pt>
                <c:pt idx="4">
                  <c:v>8.9159000000000002E-2</c:v>
                </c:pt>
                <c:pt idx="5">
                  <c:v>7.9989999999999992E-2</c:v>
                </c:pt>
                <c:pt idx="6">
                  <c:v>0.106227</c:v>
                </c:pt>
                <c:pt idx="7">
                  <c:v>0.107573</c:v>
                </c:pt>
                <c:pt idx="8">
                  <c:v>0.103948</c:v>
                </c:pt>
                <c:pt idx="9">
                  <c:v>9.7309000000000007E-2</c:v>
                </c:pt>
              </c:numCache>
            </c:numRef>
          </c:val>
          <c:smooth val="0"/>
          <c:extLst>
            <c:ext xmlns:c16="http://schemas.microsoft.com/office/drawing/2014/chart" uri="{C3380CC4-5D6E-409C-BE32-E72D297353CC}">
              <c16:uniqueId val="{00000002-6C59-476D-B5CC-27A954E80712}"/>
            </c:ext>
          </c:extLst>
        </c:ser>
        <c:dLbls>
          <c:showLegendKey val="0"/>
          <c:showVal val="0"/>
          <c:showCatName val="0"/>
          <c:showSerName val="0"/>
          <c:showPercent val="0"/>
          <c:showBubbleSize val="0"/>
        </c:dLbls>
        <c:smooth val="0"/>
        <c:axId val="1069989327"/>
        <c:axId val="1069981423"/>
      </c:lineChart>
      <c:dateAx>
        <c:axId val="1069989327"/>
        <c:scaling>
          <c:orientation val="minMax"/>
        </c:scaling>
        <c:delete val="0"/>
        <c:axPos val="b"/>
        <c:numFmt formatCode="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069981423"/>
        <c:crosses val="autoZero"/>
        <c:auto val="1"/>
        <c:lblOffset val="100"/>
        <c:baseTimeUnit val="years"/>
      </c:dateAx>
      <c:valAx>
        <c:axId val="1069981423"/>
        <c:scaling>
          <c:orientation val="minMax"/>
        </c:scaling>
        <c:delete val="0"/>
        <c:axPos val="l"/>
        <c:numFmt formatCode="0.0%_);\(0.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069989327"/>
        <c:crosses val="autoZero"/>
        <c:crossBetween val="between"/>
        <c:majorUnit val="8.0000000000000016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Return On Invested Capital</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Profitability!$B$44</c:f>
              <c:strCache>
                <c:ptCount val="1"/>
                <c:pt idx="0">
                  <c:v>NYSE:MTZ</c:v>
                </c:pt>
              </c:strCache>
            </c:strRef>
          </c:tx>
          <c:spPr>
            <a:ln w="28575" cap="rnd">
              <a:solidFill>
                <a:schemeClr val="accent1"/>
              </a:solidFill>
              <a:round/>
            </a:ln>
            <a:effectLst/>
          </c:spPr>
          <c:marker>
            <c:symbol val="none"/>
          </c:marker>
          <c:cat>
            <c:numRef>
              <c:f>Profitability!$D$43:$M$43</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Profitability!$D$44:$M$44</c:f>
              <c:numCache>
                <c:formatCode>0.0%_);\(0.0%\);0.0%_);</c:formatCode>
                <c:ptCount val="10"/>
                <c:pt idx="0">
                  <c:v>8.5458999999999993E-2</c:v>
                </c:pt>
                <c:pt idx="1">
                  <c:v>5.6262999999999994E-2</c:v>
                </c:pt>
                <c:pt idx="2">
                  <c:v>-3.7345999999999997E-2</c:v>
                </c:pt>
                <c:pt idx="3">
                  <c:v>-3.7345999999999997E-2</c:v>
                </c:pt>
                <c:pt idx="4">
                  <c:v>0.14081299999999999</c:v>
                </c:pt>
                <c:pt idx="5">
                  <c:v>9.2720999999999998E-2</c:v>
                </c:pt>
                <c:pt idx="6">
                  <c:v>0.125363</c:v>
                </c:pt>
                <c:pt idx="7">
                  <c:v>9.2804999999999999E-2</c:v>
                </c:pt>
                <c:pt idx="8">
                  <c:v>7.8978000000000007E-2</c:v>
                </c:pt>
                <c:pt idx="9">
                  <c:v>6.0169999999999998E-3</c:v>
                </c:pt>
              </c:numCache>
            </c:numRef>
          </c:val>
          <c:smooth val="0"/>
          <c:extLst>
            <c:ext xmlns:c16="http://schemas.microsoft.com/office/drawing/2014/chart" uri="{C3380CC4-5D6E-409C-BE32-E72D297353CC}">
              <c16:uniqueId val="{00000000-0E42-4DAC-BCA9-567314DF19F6}"/>
            </c:ext>
          </c:extLst>
        </c:ser>
        <c:ser>
          <c:idx val="1"/>
          <c:order val="1"/>
          <c:tx>
            <c:strRef>
              <c:f>Profitability!$B$45</c:f>
              <c:strCache>
                <c:ptCount val="1"/>
                <c:pt idx="0">
                  <c:v>NASDAQ:MYRG</c:v>
                </c:pt>
              </c:strCache>
            </c:strRef>
          </c:tx>
          <c:spPr>
            <a:ln w="28575" cap="rnd">
              <a:solidFill>
                <a:schemeClr val="accent2"/>
              </a:solidFill>
              <a:round/>
            </a:ln>
            <a:effectLst/>
          </c:spPr>
          <c:marker>
            <c:symbol val="none"/>
          </c:marker>
          <c:cat>
            <c:numRef>
              <c:f>Profitability!$D$43:$M$43</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Profitability!$D$45:$M$45</c:f>
              <c:numCache>
                <c:formatCode>0.0%_);\(0.0%\);0.0%_);</c:formatCode>
                <c:ptCount val="10"/>
                <c:pt idx="0">
                  <c:v>0.126217</c:v>
                </c:pt>
                <c:pt idx="1">
                  <c:v>0.118142</c:v>
                </c:pt>
                <c:pt idx="2">
                  <c:v>8.3691999999999989E-2</c:v>
                </c:pt>
                <c:pt idx="3">
                  <c:v>8.3691999999999989E-2</c:v>
                </c:pt>
                <c:pt idx="4">
                  <c:v>6.071E-2</c:v>
                </c:pt>
                <c:pt idx="5">
                  <c:v>7.9041E-2</c:v>
                </c:pt>
                <c:pt idx="6">
                  <c:v>7.7571000000000001E-2</c:v>
                </c:pt>
                <c:pt idx="7">
                  <c:v>0.11340799999999999</c:v>
                </c:pt>
                <c:pt idx="8">
                  <c:v>0.165716</c:v>
                </c:pt>
                <c:pt idx="9">
                  <c:v>0.141401</c:v>
                </c:pt>
              </c:numCache>
            </c:numRef>
          </c:val>
          <c:smooth val="0"/>
          <c:extLst>
            <c:ext xmlns:c16="http://schemas.microsoft.com/office/drawing/2014/chart" uri="{C3380CC4-5D6E-409C-BE32-E72D297353CC}">
              <c16:uniqueId val="{00000001-0E42-4DAC-BCA9-567314DF19F6}"/>
            </c:ext>
          </c:extLst>
        </c:ser>
        <c:ser>
          <c:idx val="2"/>
          <c:order val="2"/>
          <c:tx>
            <c:strRef>
              <c:f>Profitability!$B$46</c:f>
              <c:strCache>
                <c:ptCount val="1"/>
                <c:pt idx="0">
                  <c:v>NYSE:PWR</c:v>
                </c:pt>
              </c:strCache>
            </c:strRef>
          </c:tx>
          <c:spPr>
            <a:ln w="28575" cap="rnd">
              <a:solidFill>
                <a:schemeClr val="accent3"/>
              </a:solidFill>
              <a:round/>
            </a:ln>
            <a:effectLst/>
          </c:spPr>
          <c:marker>
            <c:symbol val="none"/>
          </c:marker>
          <c:cat>
            <c:numRef>
              <c:f>Profitability!$D$43:$M$43</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Profitability!$D$46:$M$46</c:f>
              <c:numCache>
                <c:formatCode>0.0%_);\(0.0%\);0.0%_);</c:formatCode>
                <c:ptCount val="10"/>
                <c:pt idx="0">
                  <c:v>0.10028600000000001</c:v>
                </c:pt>
                <c:pt idx="1">
                  <c:v>6.7049999999999998E-2</c:v>
                </c:pt>
                <c:pt idx="2">
                  <c:v>7.6041999999999998E-2</c:v>
                </c:pt>
                <c:pt idx="3">
                  <c:v>7.6041999999999998E-2</c:v>
                </c:pt>
                <c:pt idx="4">
                  <c:v>7.7091999999999994E-2</c:v>
                </c:pt>
                <c:pt idx="5">
                  <c:v>6.3915E-2</c:v>
                </c:pt>
                <c:pt idx="6">
                  <c:v>7.2696999999999998E-2</c:v>
                </c:pt>
                <c:pt idx="7">
                  <c:v>7.2395000000000001E-2</c:v>
                </c:pt>
                <c:pt idx="8">
                  <c:v>6.0575000000000004E-2</c:v>
                </c:pt>
                <c:pt idx="9">
                  <c:v>4.8679E-2</c:v>
                </c:pt>
              </c:numCache>
            </c:numRef>
          </c:val>
          <c:smooth val="0"/>
          <c:extLst>
            <c:ext xmlns:c16="http://schemas.microsoft.com/office/drawing/2014/chart" uri="{C3380CC4-5D6E-409C-BE32-E72D297353CC}">
              <c16:uniqueId val="{00000002-0E42-4DAC-BCA9-567314DF19F6}"/>
            </c:ext>
          </c:extLst>
        </c:ser>
        <c:dLbls>
          <c:showLegendKey val="0"/>
          <c:showVal val="0"/>
          <c:showCatName val="0"/>
          <c:showSerName val="0"/>
          <c:showPercent val="0"/>
          <c:showBubbleSize val="0"/>
        </c:dLbls>
        <c:smooth val="0"/>
        <c:axId val="1081856975"/>
        <c:axId val="1081849903"/>
      </c:lineChart>
      <c:dateAx>
        <c:axId val="1081856975"/>
        <c:scaling>
          <c:orientation val="minMax"/>
        </c:scaling>
        <c:delete val="0"/>
        <c:axPos val="b"/>
        <c:numFmt formatCode="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081849903"/>
        <c:crosses val="autoZero"/>
        <c:auto val="1"/>
        <c:lblOffset val="100"/>
        <c:baseTimeUnit val="years"/>
      </c:dateAx>
      <c:valAx>
        <c:axId val="1081849903"/>
        <c:scaling>
          <c:orientation val="minMax"/>
        </c:scaling>
        <c:delete val="0"/>
        <c:axPos val="l"/>
        <c:numFmt formatCode="0.0%_);\(0.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08185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b="1"/>
              <a:t>Quick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Liquidity!$B$12</c:f>
              <c:strCache>
                <c:ptCount val="1"/>
                <c:pt idx="0">
                  <c:v>NYSE:MTZ</c:v>
                </c:pt>
              </c:strCache>
            </c:strRef>
          </c:tx>
          <c:spPr>
            <a:ln w="28575" cap="rnd">
              <a:solidFill>
                <a:schemeClr val="accent1"/>
              </a:solidFill>
              <a:round/>
            </a:ln>
            <a:effectLst/>
          </c:spPr>
          <c:marker>
            <c:symbol val="none"/>
          </c:marker>
          <c:cat>
            <c:numRef>
              <c:f>Liquidity!$D$11:$M$11</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Liquidity!$D$12:$M$12</c:f>
              <c:numCache>
                <c:formatCode>0.0\x</c:formatCode>
                <c:ptCount val="10"/>
                <c:pt idx="0">
                  <c:v>1.3960300000000001</c:v>
                </c:pt>
                <c:pt idx="1">
                  <c:v>1.3535299999999999</c:v>
                </c:pt>
                <c:pt idx="2">
                  <c:v>1.2556099999999999</c:v>
                </c:pt>
                <c:pt idx="3">
                  <c:v>1.2556099999999999</c:v>
                </c:pt>
                <c:pt idx="4">
                  <c:v>1.7097899999999999</c:v>
                </c:pt>
                <c:pt idx="5">
                  <c:v>1.52024</c:v>
                </c:pt>
                <c:pt idx="6">
                  <c:v>1.59649</c:v>
                </c:pt>
                <c:pt idx="7">
                  <c:v>1.5505599999999999</c:v>
                </c:pt>
                <c:pt idx="8">
                  <c:v>1.4658100000000001</c:v>
                </c:pt>
                <c:pt idx="9">
                  <c:v>1.40239</c:v>
                </c:pt>
              </c:numCache>
            </c:numRef>
          </c:val>
          <c:smooth val="0"/>
          <c:extLst>
            <c:ext xmlns:c16="http://schemas.microsoft.com/office/drawing/2014/chart" uri="{C3380CC4-5D6E-409C-BE32-E72D297353CC}">
              <c16:uniqueId val="{00000000-295F-46EC-80C1-0FA88010080A}"/>
            </c:ext>
          </c:extLst>
        </c:ser>
        <c:ser>
          <c:idx val="1"/>
          <c:order val="1"/>
          <c:tx>
            <c:strRef>
              <c:f>Liquidity!$B$13</c:f>
              <c:strCache>
                <c:ptCount val="1"/>
                <c:pt idx="0">
                  <c:v>NASDAQ:MYRG</c:v>
                </c:pt>
              </c:strCache>
            </c:strRef>
          </c:tx>
          <c:spPr>
            <a:ln w="28575" cap="rnd">
              <a:solidFill>
                <a:schemeClr val="accent2"/>
              </a:solidFill>
              <a:round/>
            </a:ln>
            <a:effectLst/>
          </c:spPr>
          <c:marker>
            <c:symbol val="none"/>
          </c:marker>
          <c:cat>
            <c:numRef>
              <c:f>Liquidity!$D$11:$M$11</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Liquidity!$D$13:$M$13</c:f>
              <c:numCache>
                <c:formatCode>0.0\x</c:formatCode>
                <c:ptCount val="10"/>
                <c:pt idx="0">
                  <c:v>1.4831099999999999</c:v>
                </c:pt>
                <c:pt idx="1">
                  <c:v>1.7175800000000001</c:v>
                </c:pt>
                <c:pt idx="2">
                  <c:v>1.6436500000000001</c:v>
                </c:pt>
                <c:pt idx="3">
                  <c:v>1.6436500000000001</c:v>
                </c:pt>
                <c:pt idx="4">
                  <c:v>1.96868</c:v>
                </c:pt>
                <c:pt idx="5">
                  <c:v>1.6447499999999999</c:v>
                </c:pt>
                <c:pt idx="6">
                  <c:v>1.5785100000000001</c:v>
                </c:pt>
                <c:pt idx="7">
                  <c:v>1.3707800000000001</c:v>
                </c:pt>
                <c:pt idx="8">
                  <c:v>1.4096</c:v>
                </c:pt>
                <c:pt idx="9">
                  <c:v>1.2631399999999999</c:v>
                </c:pt>
              </c:numCache>
            </c:numRef>
          </c:val>
          <c:smooth val="0"/>
          <c:extLst>
            <c:ext xmlns:c16="http://schemas.microsoft.com/office/drawing/2014/chart" uri="{C3380CC4-5D6E-409C-BE32-E72D297353CC}">
              <c16:uniqueId val="{00000001-295F-46EC-80C1-0FA88010080A}"/>
            </c:ext>
          </c:extLst>
        </c:ser>
        <c:ser>
          <c:idx val="2"/>
          <c:order val="2"/>
          <c:tx>
            <c:strRef>
              <c:f>Liquidity!$B$14</c:f>
              <c:strCache>
                <c:ptCount val="1"/>
                <c:pt idx="0">
                  <c:v>NYSE:PWR</c:v>
                </c:pt>
              </c:strCache>
            </c:strRef>
          </c:tx>
          <c:spPr>
            <a:ln w="28575" cap="rnd">
              <a:solidFill>
                <a:schemeClr val="accent3"/>
              </a:solidFill>
              <a:round/>
            </a:ln>
            <a:effectLst/>
          </c:spPr>
          <c:marker>
            <c:symbol val="none"/>
          </c:marker>
          <c:cat>
            <c:numRef>
              <c:f>Liquidity!$D$11:$M$11</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Liquidity!$D$14:$M$14</c:f>
              <c:numCache>
                <c:formatCode>0.0\x</c:formatCode>
                <c:ptCount val="10"/>
                <c:pt idx="0">
                  <c:v>2.0548099999999998</c:v>
                </c:pt>
                <c:pt idx="1">
                  <c:v>2.0634999999999999</c:v>
                </c:pt>
                <c:pt idx="2">
                  <c:v>1.71818</c:v>
                </c:pt>
                <c:pt idx="3">
                  <c:v>1.71818</c:v>
                </c:pt>
                <c:pt idx="4">
                  <c:v>1.7566600000000001</c:v>
                </c:pt>
                <c:pt idx="5">
                  <c:v>1.66689</c:v>
                </c:pt>
                <c:pt idx="6">
                  <c:v>1.5528900000000001</c:v>
                </c:pt>
                <c:pt idx="7">
                  <c:v>1.5687899999999999</c:v>
                </c:pt>
                <c:pt idx="8">
                  <c:v>1.40073</c:v>
                </c:pt>
                <c:pt idx="9">
                  <c:v>1.5218</c:v>
                </c:pt>
              </c:numCache>
            </c:numRef>
          </c:val>
          <c:smooth val="0"/>
          <c:extLst>
            <c:ext xmlns:c16="http://schemas.microsoft.com/office/drawing/2014/chart" uri="{C3380CC4-5D6E-409C-BE32-E72D297353CC}">
              <c16:uniqueId val="{00000002-295F-46EC-80C1-0FA88010080A}"/>
            </c:ext>
          </c:extLst>
        </c:ser>
        <c:dLbls>
          <c:showLegendKey val="0"/>
          <c:showVal val="0"/>
          <c:showCatName val="0"/>
          <c:showSerName val="0"/>
          <c:showPercent val="0"/>
          <c:showBubbleSize val="0"/>
        </c:dLbls>
        <c:smooth val="0"/>
        <c:axId val="1100157631"/>
        <c:axId val="1100155135"/>
      </c:lineChart>
      <c:dateAx>
        <c:axId val="1100157631"/>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00155135"/>
        <c:crosses val="autoZero"/>
        <c:auto val="1"/>
        <c:lblOffset val="100"/>
        <c:baseTimeUnit val="years"/>
      </c:dateAx>
      <c:valAx>
        <c:axId val="1100155135"/>
        <c:scaling>
          <c:orientation val="minMax"/>
        </c:scaling>
        <c:delete val="0"/>
        <c:axPos val="l"/>
        <c:numFmt formatCode="0.0\x"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00157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b="0">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Debt / Equity</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'Leverage &amp; Solvency'!$B$6</c:f>
              <c:strCache>
                <c:ptCount val="1"/>
                <c:pt idx="0">
                  <c:v>NYSE:MTZ</c:v>
                </c:pt>
              </c:strCache>
            </c:strRef>
          </c:tx>
          <c:spPr>
            <a:ln w="28575" cap="rnd">
              <a:solidFill>
                <a:schemeClr val="accent1"/>
              </a:solidFill>
              <a:round/>
            </a:ln>
            <a:effectLst/>
          </c:spPr>
          <c:marker>
            <c:symbol val="none"/>
          </c:marker>
          <c:cat>
            <c:numRef>
              <c:f>'Leverage &amp; Solvency'!$D$5:$M$5</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Solvency'!$D$6:$M$6</c:f>
              <c:numCache>
                <c:formatCode>0.0\x;;\-.\-\x</c:formatCode>
                <c:ptCount val="10"/>
                <c:pt idx="0">
                  <c:v>0.79995500000000008</c:v>
                </c:pt>
                <c:pt idx="1">
                  <c:v>0.98842799999999997</c:v>
                </c:pt>
                <c:pt idx="2">
                  <c:v>1.0708899999999999</c:v>
                </c:pt>
                <c:pt idx="3">
                  <c:v>1.0708899999999999</c:v>
                </c:pt>
                <c:pt idx="4">
                  <c:v>0.95480399999999999</c:v>
                </c:pt>
                <c:pt idx="5">
                  <c:v>1.01067</c:v>
                </c:pt>
                <c:pt idx="6">
                  <c:v>0.93128299999999997</c:v>
                </c:pt>
                <c:pt idx="7">
                  <c:v>0.74380899999999994</c:v>
                </c:pt>
                <c:pt idx="8">
                  <c:v>0.898613</c:v>
                </c:pt>
                <c:pt idx="9">
                  <c:v>1.2821719999999999</c:v>
                </c:pt>
              </c:numCache>
            </c:numRef>
          </c:val>
          <c:smooth val="0"/>
          <c:extLst>
            <c:ext xmlns:c16="http://schemas.microsoft.com/office/drawing/2014/chart" uri="{C3380CC4-5D6E-409C-BE32-E72D297353CC}">
              <c16:uniqueId val="{00000000-A44C-4913-870E-2FC4C749D0D9}"/>
            </c:ext>
          </c:extLst>
        </c:ser>
        <c:ser>
          <c:idx val="1"/>
          <c:order val="1"/>
          <c:tx>
            <c:strRef>
              <c:f>'Leverage &amp; Solvency'!$B$7</c:f>
              <c:strCache>
                <c:ptCount val="1"/>
                <c:pt idx="0">
                  <c:v>NASDAQ:MYRG</c:v>
                </c:pt>
              </c:strCache>
            </c:strRef>
          </c:tx>
          <c:spPr>
            <a:ln w="28575" cap="rnd">
              <a:solidFill>
                <a:schemeClr val="accent2"/>
              </a:solidFill>
              <a:round/>
            </a:ln>
            <a:effectLst/>
          </c:spPr>
          <c:marker>
            <c:symbol val="none"/>
          </c:marker>
          <c:cat>
            <c:numRef>
              <c:f>'Leverage &amp; Solvency'!$D$5:$M$5</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Solvency'!$D$7:$M$7</c:f>
              <c:numCache>
                <c:formatCode>0.0\x;;\-.\-\x</c:formatCode>
                <c:ptCount val="10"/>
                <c:pt idx="0">
                  <c:v>0</c:v>
                </c:pt>
                <c:pt idx="1">
                  <c:v>0</c:v>
                </c:pt>
                <c:pt idx="2">
                  <c:v>0</c:v>
                </c:pt>
                <c:pt idx="3">
                  <c:v>0</c:v>
                </c:pt>
                <c:pt idx="4">
                  <c:v>0.28802700000000003</c:v>
                </c:pt>
                <c:pt idx="5">
                  <c:v>0.284854</c:v>
                </c:pt>
                <c:pt idx="6">
                  <c:v>0.52235599999999993</c:v>
                </c:pt>
                <c:pt idx="7">
                  <c:v>0.12131600000000001</c:v>
                </c:pt>
                <c:pt idx="8">
                  <c:v>4.9119000000000003E-2</c:v>
                </c:pt>
                <c:pt idx="9">
                  <c:v>0.133075</c:v>
                </c:pt>
              </c:numCache>
            </c:numRef>
          </c:val>
          <c:smooth val="0"/>
          <c:extLst>
            <c:ext xmlns:c16="http://schemas.microsoft.com/office/drawing/2014/chart" uri="{C3380CC4-5D6E-409C-BE32-E72D297353CC}">
              <c16:uniqueId val="{00000001-A44C-4913-870E-2FC4C749D0D9}"/>
            </c:ext>
          </c:extLst>
        </c:ser>
        <c:ser>
          <c:idx val="2"/>
          <c:order val="2"/>
          <c:tx>
            <c:strRef>
              <c:f>'Leverage &amp; Solvency'!$B$8</c:f>
              <c:strCache>
                <c:ptCount val="1"/>
                <c:pt idx="0">
                  <c:v>NYSE:PWR</c:v>
                </c:pt>
              </c:strCache>
            </c:strRef>
          </c:tx>
          <c:spPr>
            <a:ln w="28575" cap="rnd">
              <a:solidFill>
                <a:schemeClr val="accent3"/>
              </a:solidFill>
              <a:round/>
            </a:ln>
            <a:effectLst/>
          </c:spPr>
          <c:marker>
            <c:symbol val="none"/>
          </c:marker>
          <c:cat>
            <c:numRef>
              <c:f>'Leverage &amp; Solvency'!$D$5:$M$5</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Solvency'!$D$8:$M$8</c:f>
              <c:numCache>
                <c:formatCode>0.0\x;;\-.\-\x</c:formatCode>
                <c:ptCount val="10"/>
                <c:pt idx="0">
                  <c:v>5.2599999999999999E-4</c:v>
                </c:pt>
                <c:pt idx="1">
                  <c:v>1.7979000000000002E-2</c:v>
                </c:pt>
                <c:pt idx="2">
                  <c:v>0.15623699999999999</c:v>
                </c:pt>
                <c:pt idx="3">
                  <c:v>0.15623699999999999</c:v>
                </c:pt>
                <c:pt idx="4">
                  <c:v>0.17702999999999999</c:v>
                </c:pt>
                <c:pt idx="5">
                  <c:v>0.30680599999999997</c:v>
                </c:pt>
                <c:pt idx="6">
                  <c:v>0.40851700000000002</c:v>
                </c:pt>
                <c:pt idx="7">
                  <c:v>0.33410499999999999</c:v>
                </c:pt>
                <c:pt idx="8">
                  <c:v>0.7821729999999999</c:v>
                </c:pt>
                <c:pt idx="9">
                  <c:v>0.7363630000000001</c:v>
                </c:pt>
              </c:numCache>
            </c:numRef>
          </c:val>
          <c:smooth val="0"/>
          <c:extLst>
            <c:ext xmlns:c16="http://schemas.microsoft.com/office/drawing/2014/chart" uri="{C3380CC4-5D6E-409C-BE32-E72D297353CC}">
              <c16:uniqueId val="{00000002-A44C-4913-870E-2FC4C749D0D9}"/>
            </c:ext>
          </c:extLst>
        </c:ser>
        <c:dLbls>
          <c:showLegendKey val="0"/>
          <c:showVal val="0"/>
          <c:showCatName val="0"/>
          <c:showSerName val="0"/>
          <c:showPercent val="0"/>
          <c:showBubbleSize val="0"/>
        </c:dLbls>
        <c:smooth val="0"/>
        <c:axId val="1153310815"/>
        <c:axId val="1153312479"/>
      </c:lineChart>
      <c:dateAx>
        <c:axId val="1153310815"/>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53312479"/>
        <c:crosses val="autoZero"/>
        <c:auto val="1"/>
        <c:lblOffset val="100"/>
        <c:baseTimeUnit val="years"/>
      </c:dateAx>
      <c:valAx>
        <c:axId val="1153312479"/>
        <c:scaling>
          <c:orientation val="minMax"/>
          <c:max val="1.5"/>
        </c:scaling>
        <c:delete val="0"/>
        <c:axPos val="l"/>
        <c:numFmt formatCode="0.0\x;"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53310815"/>
        <c:crosses val="autoZero"/>
        <c:crossBetween val="between"/>
        <c:majorUnit val="0.30000000000000004"/>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b="1"/>
              <a:t>Debt / Capital</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'Leverage &amp; Solvency'!$B$12</c:f>
              <c:strCache>
                <c:ptCount val="1"/>
                <c:pt idx="0">
                  <c:v>NYSE:MTZ</c:v>
                </c:pt>
              </c:strCache>
            </c:strRef>
          </c:tx>
          <c:spPr>
            <a:ln w="28575" cap="rnd">
              <a:solidFill>
                <a:schemeClr val="accent1"/>
              </a:solidFill>
              <a:round/>
            </a:ln>
            <a:effectLst/>
          </c:spPr>
          <c:marker>
            <c:symbol val="none"/>
          </c:marker>
          <c:cat>
            <c:numRef>
              <c:f>'Leverage &amp; Solvency'!$D$11:$M$11</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Solvency'!$D$12:$M$12</c:f>
              <c:numCache>
                <c:formatCode>0.0%_);\(0.0%\);0.0%_);</c:formatCode>
                <c:ptCount val="10"/>
                <c:pt idx="0">
                  <c:v>0.44442999999999999</c:v>
                </c:pt>
                <c:pt idx="1">
                  <c:v>0.49709000000000003</c:v>
                </c:pt>
                <c:pt idx="2">
                  <c:v>0.51711499999999999</c:v>
                </c:pt>
                <c:pt idx="3">
                  <c:v>0.51711499999999999</c:v>
                </c:pt>
                <c:pt idx="4">
                  <c:v>0.48843899999999996</c:v>
                </c:pt>
                <c:pt idx="5">
                  <c:v>0.50265300000000002</c:v>
                </c:pt>
                <c:pt idx="6">
                  <c:v>0.482209</c:v>
                </c:pt>
                <c:pt idx="7">
                  <c:v>0.42654200000000003</c:v>
                </c:pt>
                <c:pt idx="8">
                  <c:v>0.47329900000000003</c:v>
                </c:pt>
                <c:pt idx="9">
                  <c:v>0.56182100000000001</c:v>
                </c:pt>
              </c:numCache>
            </c:numRef>
          </c:val>
          <c:smooth val="0"/>
          <c:extLst>
            <c:ext xmlns:c16="http://schemas.microsoft.com/office/drawing/2014/chart" uri="{C3380CC4-5D6E-409C-BE32-E72D297353CC}">
              <c16:uniqueId val="{00000000-11C5-46C3-9078-476FDFF00CD6}"/>
            </c:ext>
          </c:extLst>
        </c:ser>
        <c:ser>
          <c:idx val="1"/>
          <c:order val="1"/>
          <c:tx>
            <c:strRef>
              <c:f>'Leverage &amp; Solvency'!$B$13</c:f>
              <c:strCache>
                <c:ptCount val="1"/>
                <c:pt idx="0">
                  <c:v>NASDAQ:MYRG</c:v>
                </c:pt>
              </c:strCache>
            </c:strRef>
          </c:tx>
          <c:spPr>
            <a:ln w="28575" cap="rnd">
              <a:solidFill>
                <a:schemeClr val="accent2"/>
              </a:solidFill>
              <a:round/>
            </a:ln>
            <a:effectLst/>
          </c:spPr>
          <c:marker>
            <c:symbol val="none"/>
          </c:marker>
          <c:cat>
            <c:numRef>
              <c:f>'Leverage &amp; Solvency'!$D$11:$M$11</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Solvency'!$D$13:$M$13</c:f>
              <c:numCache>
                <c:formatCode>0.0%_);\(0.0%\);0.0%_);</c:formatCode>
                <c:ptCount val="10"/>
                <c:pt idx="0">
                  <c:v>0</c:v>
                </c:pt>
                <c:pt idx="1">
                  <c:v>0</c:v>
                </c:pt>
                <c:pt idx="2">
                  <c:v>0</c:v>
                </c:pt>
                <c:pt idx="3">
                  <c:v>0</c:v>
                </c:pt>
                <c:pt idx="4">
                  <c:v>0.22361799999999998</c:v>
                </c:pt>
                <c:pt idx="5">
                  <c:v>0.22170100000000001</c:v>
                </c:pt>
                <c:pt idx="6">
                  <c:v>0.34312300000000001</c:v>
                </c:pt>
                <c:pt idx="7">
                  <c:v>0.10819000000000001</c:v>
                </c:pt>
                <c:pt idx="8">
                  <c:v>4.6819E-2</c:v>
                </c:pt>
                <c:pt idx="9">
                  <c:v>0.11744599999999999</c:v>
                </c:pt>
              </c:numCache>
            </c:numRef>
          </c:val>
          <c:smooth val="0"/>
          <c:extLst>
            <c:ext xmlns:c16="http://schemas.microsoft.com/office/drawing/2014/chart" uri="{C3380CC4-5D6E-409C-BE32-E72D297353CC}">
              <c16:uniqueId val="{00000001-11C5-46C3-9078-476FDFF00CD6}"/>
            </c:ext>
          </c:extLst>
        </c:ser>
        <c:ser>
          <c:idx val="2"/>
          <c:order val="2"/>
          <c:tx>
            <c:strRef>
              <c:f>'Leverage &amp; Solvency'!$B$14</c:f>
              <c:strCache>
                <c:ptCount val="1"/>
                <c:pt idx="0">
                  <c:v>NYSE:PWR</c:v>
                </c:pt>
              </c:strCache>
            </c:strRef>
          </c:tx>
          <c:spPr>
            <a:ln w="28575" cap="rnd">
              <a:solidFill>
                <a:schemeClr val="accent3"/>
              </a:solidFill>
              <a:round/>
            </a:ln>
            <a:effectLst/>
          </c:spPr>
          <c:marker>
            <c:symbol val="none"/>
          </c:marker>
          <c:cat>
            <c:numRef>
              <c:f>'Leverage &amp; Solvency'!$D$11:$M$11</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Solvency'!$D$14:$M$14</c:f>
              <c:numCache>
                <c:formatCode>0.0%_);\(0.0%\);0.0%_);</c:formatCode>
                <c:ptCount val="10"/>
                <c:pt idx="0">
                  <c:v>5.2599999999999999E-4</c:v>
                </c:pt>
                <c:pt idx="1">
                  <c:v>1.7661E-2</c:v>
                </c:pt>
                <c:pt idx="2">
                  <c:v>0.135125</c:v>
                </c:pt>
                <c:pt idx="3">
                  <c:v>0.135125</c:v>
                </c:pt>
                <c:pt idx="4">
                  <c:v>0.15040400000000001</c:v>
                </c:pt>
                <c:pt idx="5">
                  <c:v>0.23477599999999998</c:v>
                </c:pt>
                <c:pt idx="6">
                  <c:v>0.29003299999999999</c:v>
                </c:pt>
                <c:pt idx="7">
                  <c:v>0.25043299999999996</c:v>
                </c:pt>
                <c:pt idx="8">
                  <c:v>0.43888700000000003</c:v>
                </c:pt>
                <c:pt idx="9">
                  <c:v>0.42408299999999999</c:v>
                </c:pt>
              </c:numCache>
            </c:numRef>
          </c:val>
          <c:smooth val="0"/>
          <c:extLst>
            <c:ext xmlns:c16="http://schemas.microsoft.com/office/drawing/2014/chart" uri="{C3380CC4-5D6E-409C-BE32-E72D297353CC}">
              <c16:uniqueId val="{00000002-11C5-46C3-9078-476FDFF00CD6}"/>
            </c:ext>
          </c:extLst>
        </c:ser>
        <c:dLbls>
          <c:showLegendKey val="0"/>
          <c:showVal val="0"/>
          <c:showCatName val="0"/>
          <c:showSerName val="0"/>
          <c:showPercent val="0"/>
          <c:showBubbleSize val="0"/>
        </c:dLbls>
        <c:smooth val="0"/>
        <c:axId val="1152366559"/>
        <c:axId val="1152370719"/>
      </c:lineChart>
      <c:dateAx>
        <c:axId val="1152366559"/>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52370719"/>
        <c:crosses val="autoZero"/>
        <c:auto val="1"/>
        <c:lblOffset val="100"/>
        <c:baseTimeUnit val="years"/>
      </c:dateAx>
      <c:valAx>
        <c:axId val="1152370719"/>
        <c:scaling>
          <c:orientation val="minMax"/>
        </c:scaling>
        <c:delete val="0"/>
        <c:axPos val="l"/>
        <c:numFmt formatCode="0.0%_);\(0.0%\);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52366559"/>
        <c:crosses val="autoZero"/>
        <c:crossBetween val="between"/>
        <c:majorUnit val="0.120000000000000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Interest Coverage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'Leverage &amp; Solvency'!$B$18</c:f>
              <c:strCache>
                <c:ptCount val="1"/>
                <c:pt idx="0">
                  <c:v>NYSE:MTZ</c:v>
                </c:pt>
              </c:strCache>
            </c:strRef>
          </c:tx>
          <c:spPr>
            <a:ln w="28575" cap="rnd">
              <a:solidFill>
                <a:schemeClr val="accent1"/>
              </a:solidFill>
              <a:round/>
            </a:ln>
            <a:effectLst/>
          </c:spPr>
          <c:marker>
            <c:symbol val="none"/>
          </c:marker>
          <c:cat>
            <c:numRef>
              <c:f>'Leverage &amp; Solvency'!$D$17:$M$17</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Solvency'!$D$18:$M$18</c:f>
              <c:numCache>
                <c:formatCode>0.0\x</c:formatCode>
                <c:ptCount val="10"/>
                <c:pt idx="0">
                  <c:v>9.1567000000000007</c:v>
                </c:pt>
                <c:pt idx="1">
                  <c:v>7.89527</c:v>
                </c:pt>
                <c:pt idx="2">
                  <c:v>4.9717399999999996</c:v>
                </c:pt>
                <c:pt idx="3">
                  <c:v>4.9717399999999996</c:v>
                </c:pt>
                <c:pt idx="4">
                  <c:v>9.6239699999999999</c:v>
                </c:pt>
                <c:pt idx="5">
                  <c:v>8.2696199999999997</c:v>
                </c:pt>
                <c:pt idx="6">
                  <c:v>18.049530000000001</c:v>
                </c:pt>
                <c:pt idx="7">
                  <c:v>19.690339999999999</c:v>
                </c:pt>
                <c:pt idx="8">
                  <c:v>27.11842</c:v>
                </c:pt>
                <c:pt idx="9">
                  <c:v>11.06826</c:v>
                </c:pt>
              </c:numCache>
            </c:numRef>
          </c:val>
          <c:smooth val="0"/>
          <c:extLst>
            <c:ext xmlns:c16="http://schemas.microsoft.com/office/drawing/2014/chart" uri="{C3380CC4-5D6E-409C-BE32-E72D297353CC}">
              <c16:uniqueId val="{00000000-87A8-47CF-8D16-11FA73D9EB81}"/>
            </c:ext>
          </c:extLst>
        </c:ser>
        <c:ser>
          <c:idx val="1"/>
          <c:order val="1"/>
          <c:tx>
            <c:strRef>
              <c:f>'Leverage &amp; Solvency'!$B$19</c:f>
              <c:strCache>
                <c:ptCount val="1"/>
                <c:pt idx="0">
                  <c:v>NASDAQ:MYRG</c:v>
                </c:pt>
              </c:strCache>
            </c:strRef>
          </c:tx>
          <c:spPr>
            <a:ln w="28575" cap="rnd">
              <a:solidFill>
                <a:schemeClr val="accent2"/>
              </a:solidFill>
              <a:round/>
            </a:ln>
            <a:effectLst/>
          </c:spPr>
          <c:marker>
            <c:symbol val="none"/>
          </c:marker>
          <c:cat>
            <c:numRef>
              <c:f>'Leverage &amp; Solvency'!$D$17:$M$17</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Solvency'!$D$19:$M$19</c:f>
              <c:numCache>
                <c:formatCode>0.0\x</c:formatCode>
                <c:ptCount val="10"/>
                <c:pt idx="0">
                  <c:v>115.43191</c:v>
                </c:pt>
                <c:pt idx="1">
                  <c:v>123.80194</c:v>
                </c:pt>
                <c:pt idx="2">
                  <c:v>109.05938</c:v>
                </c:pt>
                <c:pt idx="3">
                  <c:v>109.05938</c:v>
                </c:pt>
                <c:pt idx="4">
                  <c:v>24.767579999999999</c:v>
                </c:pt>
                <c:pt idx="5">
                  <c:v>23.65635</c:v>
                </c:pt>
                <c:pt idx="6">
                  <c:v>16.98394</c:v>
                </c:pt>
                <c:pt idx="7">
                  <c:v>30.659220000000001</c:v>
                </c:pt>
                <c:pt idx="8">
                  <c:v>95.720399999999998</c:v>
                </c:pt>
                <c:pt idx="9">
                  <c:v>51.793990000000001</c:v>
                </c:pt>
              </c:numCache>
            </c:numRef>
          </c:val>
          <c:smooth val="0"/>
          <c:extLst>
            <c:ext xmlns:c16="http://schemas.microsoft.com/office/drawing/2014/chart" uri="{C3380CC4-5D6E-409C-BE32-E72D297353CC}">
              <c16:uniqueId val="{00000001-87A8-47CF-8D16-11FA73D9EB81}"/>
            </c:ext>
          </c:extLst>
        </c:ser>
        <c:ser>
          <c:idx val="2"/>
          <c:order val="2"/>
          <c:tx>
            <c:strRef>
              <c:f>'Leverage &amp; Solvency'!$B$20</c:f>
              <c:strCache>
                <c:ptCount val="1"/>
                <c:pt idx="0">
                  <c:v>NYSE:PWR</c:v>
                </c:pt>
              </c:strCache>
            </c:strRef>
          </c:tx>
          <c:spPr>
            <a:ln w="28575" cap="rnd">
              <a:solidFill>
                <a:schemeClr val="accent3"/>
              </a:solidFill>
              <a:round/>
            </a:ln>
            <a:effectLst/>
          </c:spPr>
          <c:marker>
            <c:symbol val="none"/>
          </c:marker>
          <c:cat>
            <c:numRef>
              <c:f>'Leverage &amp; Solvency'!$D$17:$M$17</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Solvency'!$D$20:$M$20</c:f>
              <c:numCache>
                <c:formatCode>0.0\x</c:formatCode>
                <c:ptCount val="10"/>
                <c:pt idx="0">
                  <c:v>232.64393000000001</c:v>
                </c:pt>
                <c:pt idx="1">
                  <c:v>137.42349999999999</c:v>
                </c:pt>
                <c:pt idx="2">
                  <c:v>61.969970000000004</c:v>
                </c:pt>
                <c:pt idx="3">
                  <c:v>61.969970000000004</c:v>
                </c:pt>
                <c:pt idx="4">
                  <c:v>30.924659999999999</c:v>
                </c:pt>
                <c:pt idx="5">
                  <c:v>22.328029999999998</c:v>
                </c:pt>
                <c:pt idx="6">
                  <c:v>27.479130000000001</c:v>
                </c:pt>
                <c:pt idx="7">
                  <c:v>37.736879999999999</c:v>
                </c:pt>
                <c:pt idx="8">
                  <c:v>27.404199999999999</c:v>
                </c:pt>
                <c:pt idx="9">
                  <c:v>20.464700000000001</c:v>
                </c:pt>
              </c:numCache>
            </c:numRef>
          </c:val>
          <c:smooth val="0"/>
          <c:extLst>
            <c:ext xmlns:c16="http://schemas.microsoft.com/office/drawing/2014/chart" uri="{C3380CC4-5D6E-409C-BE32-E72D297353CC}">
              <c16:uniqueId val="{00000002-87A8-47CF-8D16-11FA73D9EB81}"/>
            </c:ext>
          </c:extLst>
        </c:ser>
        <c:dLbls>
          <c:showLegendKey val="0"/>
          <c:showVal val="0"/>
          <c:showCatName val="0"/>
          <c:showSerName val="0"/>
          <c:showPercent val="0"/>
          <c:showBubbleSize val="0"/>
        </c:dLbls>
        <c:smooth val="0"/>
        <c:axId val="1157018063"/>
        <c:axId val="1157021391"/>
      </c:lineChart>
      <c:dateAx>
        <c:axId val="1157018063"/>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57021391"/>
        <c:crosses val="autoZero"/>
        <c:auto val="1"/>
        <c:lblOffset val="100"/>
        <c:baseTimeUnit val="years"/>
      </c:dateAx>
      <c:valAx>
        <c:axId val="1157021391"/>
        <c:scaling>
          <c:orientation val="minMax"/>
        </c:scaling>
        <c:delete val="0"/>
        <c:axPos val="l"/>
        <c:numFmt formatCode="0.0\x"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57018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Leverage Ratio</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'Leverage &amp; Solvency'!$B$24</c:f>
              <c:strCache>
                <c:ptCount val="1"/>
                <c:pt idx="0">
                  <c:v>NYSE:MTZ</c:v>
                </c:pt>
              </c:strCache>
            </c:strRef>
          </c:tx>
          <c:spPr>
            <a:ln w="28575" cap="rnd">
              <a:solidFill>
                <a:schemeClr val="accent1"/>
              </a:solidFill>
              <a:round/>
            </a:ln>
            <a:effectLst/>
          </c:spPr>
          <c:marker>
            <c:symbol val="none"/>
          </c:marker>
          <c:cat>
            <c:numRef>
              <c:f>'Leverage &amp; Solvency'!$D$23:$M$23</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Solvency'!$D$24:$M$24</c:f>
              <c:numCache>
                <c:formatCode>0.0\x</c:formatCode>
                <c:ptCount val="10"/>
                <c:pt idx="0">
                  <c:v>1.9043300000000001</c:v>
                </c:pt>
                <c:pt idx="1">
                  <c:v>2.83107</c:v>
                </c:pt>
                <c:pt idx="2">
                  <c:v>4.2285300000000001</c:v>
                </c:pt>
                <c:pt idx="3">
                  <c:v>4.2285300000000001</c:v>
                </c:pt>
                <c:pt idx="4">
                  <c:v>2.3308</c:v>
                </c:pt>
                <c:pt idx="5">
                  <c:v>2.0603600000000002</c:v>
                </c:pt>
                <c:pt idx="6">
                  <c:v>1.20017</c:v>
                </c:pt>
                <c:pt idx="7">
                  <c:v>1.27051</c:v>
                </c:pt>
                <c:pt idx="8">
                  <c:v>1.5781799999999999</c:v>
                </c:pt>
                <c:pt idx="9">
                  <c:v>2.8287900000000001</c:v>
                </c:pt>
              </c:numCache>
            </c:numRef>
          </c:val>
          <c:smooth val="0"/>
          <c:extLst>
            <c:ext xmlns:c16="http://schemas.microsoft.com/office/drawing/2014/chart" uri="{C3380CC4-5D6E-409C-BE32-E72D297353CC}">
              <c16:uniqueId val="{00000000-4AF8-47BD-A2F7-F1D46F347130}"/>
            </c:ext>
          </c:extLst>
        </c:ser>
        <c:ser>
          <c:idx val="1"/>
          <c:order val="1"/>
          <c:tx>
            <c:strRef>
              <c:f>'Leverage &amp; Solvency'!$B$25</c:f>
              <c:strCache>
                <c:ptCount val="1"/>
                <c:pt idx="0">
                  <c:v>NASDAQ:MYRG</c:v>
                </c:pt>
              </c:strCache>
            </c:strRef>
          </c:tx>
          <c:spPr>
            <a:ln w="28575" cap="rnd">
              <a:solidFill>
                <a:schemeClr val="accent2"/>
              </a:solidFill>
              <a:round/>
            </a:ln>
            <a:effectLst/>
          </c:spPr>
          <c:marker>
            <c:symbol val="none"/>
          </c:marker>
          <c:cat>
            <c:numRef>
              <c:f>'Leverage &amp; Solvency'!$D$23:$M$23</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Solvency'!$D$25:$M$25</c:f>
              <c:numCache>
                <c:formatCode>0.0\x</c:formatCode>
                <c:ptCount val="10"/>
                <c:pt idx="0">
                  <c:v>0</c:v>
                </c:pt>
                <c:pt idx="1">
                  <c:v>0</c:v>
                </c:pt>
                <c:pt idx="2">
                  <c:v>0</c:v>
                </c:pt>
                <c:pt idx="3">
                  <c:v>0</c:v>
                </c:pt>
                <c:pt idx="4">
                  <c:v>1.2823800000000001</c:v>
                </c:pt>
                <c:pt idx="5">
                  <c:v>1.06982</c:v>
                </c:pt>
                <c:pt idx="6">
                  <c:v>1.80077</c:v>
                </c:pt>
                <c:pt idx="7">
                  <c:v>0.37226999999999999</c:v>
                </c:pt>
                <c:pt idx="8">
                  <c:v>0.14807000000000001</c:v>
                </c:pt>
                <c:pt idx="9">
                  <c:v>0.40397</c:v>
                </c:pt>
              </c:numCache>
            </c:numRef>
          </c:val>
          <c:smooth val="0"/>
          <c:extLst>
            <c:ext xmlns:c16="http://schemas.microsoft.com/office/drawing/2014/chart" uri="{C3380CC4-5D6E-409C-BE32-E72D297353CC}">
              <c16:uniqueId val="{00000001-4AF8-47BD-A2F7-F1D46F347130}"/>
            </c:ext>
          </c:extLst>
        </c:ser>
        <c:ser>
          <c:idx val="2"/>
          <c:order val="2"/>
          <c:tx>
            <c:strRef>
              <c:f>'Leverage &amp; Solvency'!$B$26</c:f>
              <c:strCache>
                <c:ptCount val="1"/>
                <c:pt idx="0">
                  <c:v>NYSE:PWR</c:v>
                </c:pt>
              </c:strCache>
            </c:strRef>
          </c:tx>
          <c:spPr>
            <a:ln w="28575" cap="rnd">
              <a:solidFill>
                <a:schemeClr val="accent3"/>
              </a:solidFill>
              <a:round/>
            </a:ln>
            <a:effectLst/>
          </c:spPr>
          <c:marker>
            <c:symbol val="none"/>
          </c:marker>
          <c:cat>
            <c:numRef>
              <c:f>'Leverage &amp; Solvency'!$D$23:$M$23</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Solvency'!$D$26:$M$26</c:f>
              <c:numCache>
                <c:formatCode>0.0\x</c:formatCode>
                <c:ptCount val="10"/>
                <c:pt idx="0">
                  <c:v>3.5999999999999999E-3</c:v>
                </c:pt>
                <c:pt idx="1">
                  <c:v>0.12425</c:v>
                </c:pt>
                <c:pt idx="2">
                  <c:v>0.97019999999999995</c:v>
                </c:pt>
                <c:pt idx="3">
                  <c:v>0.97019999999999995</c:v>
                </c:pt>
                <c:pt idx="4">
                  <c:v>1.03735</c:v>
                </c:pt>
                <c:pt idx="5">
                  <c:v>1.34097</c:v>
                </c:pt>
                <c:pt idx="6">
                  <c:v>0.90097000000000005</c:v>
                </c:pt>
                <c:pt idx="7">
                  <c:v>0.85538999999999998</c:v>
                </c:pt>
                <c:pt idx="8">
                  <c:v>2.1197300000000001</c:v>
                </c:pt>
                <c:pt idx="9">
                  <c:v>1.5620499999999999</c:v>
                </c:pt>
              </c:numCache>
            </c:numRef>
          </c:val>
          <c:smooth val="0"/>
          <c:extLst>
            <c:ext xmlns:c16="http://schemas.microsoft.com/office/drawing/2014/chart" uri="{C3380CC4-5D6E-409C-BE32-E72D297353CC}">
              <c16:uniqueId val="{00000002-4AF8-47BD-A2F7-F1D46F347130}"/>
            </c:ext>
          </c:extLst>
        </c:ser>
        <c:dLbls>
          <c:showLegendKey val="0"/>
          <c:showVal val="0"/>
          <c:showCatName val="0"/>
          <c:showSerName val="0"/>
          <c:showPercent val="0"/>
          <c:showBubbleSize val="0"/>
        </c:dLbls>
        <c:smooth val="0"/>
        <c:axId val="708482575"/>
        <c:axId val="708486319"/>
      </c:lineChart>
      <c:dateAx>
        <c:axId val="708482575"/>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708486319"/>
        <c:crosses val="autoZero"/>
        <c:auto val="1"/>
        <c:lblOffset val="100"/>
        <c:baseTimeUnit val="years"/>
      </c:dateAx>
      <c:valAx>
        <c:axId val="708486319"/>
        <c:scaling>
          <c:orientation val="minMax"/>
          <c:max val="5"/>
        </c:scaling>
        <c:delete val="0"/>
        <c:axPos val="l"/>
        <c:numFmt formatCode="0.0\x"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708482575"/>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Net Leverage Ratio</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'Leverage &amp; Solvency'!$B$30</c:f>
              <c:strCache>
                <c:ptCount val="1"/>
                <c:pt idx="0">
                  <c:v>NYSE:MTZ</c:v>
                </c:pt>
              </c:strCache>
            </c:strRef>
          </c:tx>
          <c:spPr>
            <a:ln w="28575" cap="rnd">
              <a:solidFill>
                <a:schemeClr val="accent1"/>
              </a:solidFill>
              <a:round/>
            </a:ln>
            <a:effectLst/>
          </c:spPr>
          <c:marker>
            <c:symbol val="none"/>
          </c:marker>
          <c:cat>
            <c:numRef>
              <c:f>'Leverage &amp; Solvency'!$D$29:$M$29</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Solvency'!$D$30:$M$30</c:f>
              <c:numCache>
                <c:formatCode>0.0\x</c:formatCode>
                <c:ptCount val="10"/>
                <c:pt idx="0">
                  <c:v>1.8508800000000001</c:v>
                </c:pt>
                <c:pt idx="1">
                  <c:v>2.7710400000000002</c:v>
                </c:pt>
                <c:pt idx="2">
                  <c:v>4.2076700000000002</c:v>
                </c:pt>
                <c:pt idx="3">
                  <c:v>4.2076700000000002</c:v>
                </c:pt>
                <c:pt idx="4">
                  <c:v>2.2621199999999999</c:v>
                </c:pt>
                <c:pt idx="5">
                  <c:v>2.0202</c:v>
                </c:pt>
                <c:pt idx="6">
                  <c:v>1.14879</c:v>
                </c:pt>
                <c:pt idx="7">
                  <c:v>0.89566000000000001</c:v>
                </c:pt>
                <c:pt idx="8">
                  <c:v>1.32368</c:v>
                </c:pt>
                <c:pt idx="9">
                  <c:v>2.5303499999999999</c:v>
                </c:pt>
              </c:numCache>
            </c:numRef>
          </c:val>
          <c:smooth val="0"/>
          <c:extLst>
            <c:ext xmlns:c16="http://schemas.microsoft.com/office/drawing/2014/chart" uri="{C3380CC4-5D6E-409C-BE32-E72D297353CC}">
              <c16:uniqueId val="{00000000-8789-4DC4-94A6-A1AA85E9EB0B}"/>
            </c:ext>
          </c:extLst>
        </c:ser>
        <c:ser>
          <c:idx val="1"/>
          <c:order val="1"/>
          <c:tx>
            <c:strRef>
              <c:f>'Leverage &amp; Solvency'!$B$31</c:f>
              <c:strCache>
                <c:ptCount val="1"/>
                <c:pt idx="0">
                  <c:v>NASDAQ:MYRG</c:v>
                </c:pt>
              </c:strCache>
            </c:strRef>
          </c:tx>
          <c:spPr>
            <a:ln w="28575" cap="rnd">
              <a:solidFill>
                <a:schemeClr val="accent2"/>
              </a:solidFill>
              <a:round/>
            </a:ln>
            <a:effectLst/>
          </c:spPr>
          <c:marker>
            <c:symbol val="none"/>
          </c:marker>
          <c:cat>
            <c:numRef>
              <c:f>'Leverage &amp; Solvency'!$D$29:$M$29</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Solvency'!$D$31:$M$31</c:f>
              <c:numCache>
                <c:formatCode>0.0\x</c:formatCode>
                <c:ptCount val="10"/>
                <c:pt idx="4">
                  <c:v>1.1995</c:v>
                </c:pt>
                <c:pt idx="5">
                  <c:v>0.98292999999999997</c:v>
                </c:pt>
                <c:pt idx="6">
                  <c:v>1.6835100000000001</c:v>
                </c:pt>
                <c:pt idx="7">
                  <c:v>0.21024000000000001</c:v>
                </c:pt>
                <c:pt idx="9">
                  <c:v>0.12739</c:v>
                </c:pt>
              </c:numCache>
            </c:numRef>
          </c:val>
          <c:smooth val="0"/>
          <c:extLst>
            <c:ext xmlns:c16="http://schemas.microsoft.com/office/drawing/2014/chart" uri="{C3380CC4-5D6E-409C-BE32-E72D297353CC}">
              <c16:uniqueId val="{00000001-8789-4DC4-94A6-A1AA85E9EB0B}"/>
            </c:ext>
          </c:extLst>
        </c:ser>
        <c:ser>
          <c:idx val="2"/>
          <c:order val="2"/>
          <c:tx>
            <c:strRef>
              <c:f>'Leverage &amp; Solvency'!$B$32</c:f>
              <c:strCache>
                <c:ptCount val="1"/>
                <c:pt idx="0">
                  <c:v>NYSE:PWR</c:v>
                </c:pt>
              </c:strCache>
            </c:strRef>
          </c:tx>
          <c:spPr>
            <a:ln w="28575" cap="rnd">
              <a:solidFill>
                <a:schemeClr val="accent3"/>
              </a:solidFill>
              <a:round/>
            </a:ln>
            <a:effectLst/>
          </c:spPr>
          <c:marker>
            <c:symbol val="none"/>
          </c:marker>
          <c:cat>
            <c:numRef>
              <c:f>'Leverage &amp; Solvency'!$D$29:$M$29</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'Leverage &amp; Solvency'!$D$32:$M$32</c:f>
              <c:numCache>
                <c:formatCode>0.0\x</c:formatCode>
                <c:ptCount val="10"/>
                <c:pt idx="2">
                  <c:v>0.71123999999999998</c:v>
                </c:pt>
                <c:pt idx="3">
                  <c:v>0.71123999999999998</c:v>
                </c:pt>
                <c:pt idx="4">
                  <c:v>0.82386000000000004</c:v>
                </c:pt>
                <c:pt idx="5">
                  <c:v>1.2455799999999999</c:v>
                </c:pt>
                <c:pt idx="6">
                  <c:v>0.81132000000000004</c:v>
                </c:pt>
                <c:pt idx="7">
                  <c:v>0.74670999999999998</c:v>
                </c:pt>
                <c:pt idx="8">
                  <c:v>1.9984</c:v>
                </c:pt>
                <c:pt idx="9">
                  <c:v>1.39368</c:v>
                </c:pt>
              </c:numCache>
            </c:numRef>
          </c:val>
          <c:smooth val="0"/>
          <c:extLst>
            <c:ext xmlns:c16="http://schemas.microsoft.com/office/drawing/2014/chart" uri="{C3380CC4-5D6E-409C-BE32-E72D297353CC}">
              <c16:uniqueId val="{00000002-8789-4DC4-94A6-A1AA85E9EB0B}"/>
            </c:ext>
          </c:extLst>
        </c:ser>
        <c:dLbls>
          <c:showLegendKey val="0"/>
          <c:showVal val="0"/>
          <c:showCatName val="0"/>
          <c:showSerName val="0"/>
          <c:showPercent val="0"/>
          <c:showBubbleSize val="0"/>
        </c:dLbls>
        <c:smooth val="0"/>
        <c:axId val="989611183"/>
        <c:axId val="989612431"/>
      </c:lineChart>
      <c:dateAx>
        <c:axId val="989611183"/>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989612431"/>
        <c:crosses val="autoZero"/>
        <c:auto val="1"/>
        <c:lblOffset val="100"/>
        <c:baseTimeUnit val="years"/>
      </c:dateAx>
      <c:valAx>
        <c:axId val="989612431"/>
        <c:scaling>
          <c:orientation val="minMax"/>
        </c:scaling>
        <c:delete val="0"/>
        <c:axPos val="l"/>
        <c:numFmt formatCode="0.0\x"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989611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r>
              <a:rPr lang="en-US" b="1"/>
              <a:t>Total Asset Turnover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Efficiency!$B$7</c:f>
              <c:strCache>
                <c:ptCount val="1"/>
                <c:pt idx="0">
                  <c:v>NYSE:MTZ</c:v>
                </c:pt>
              </c:strCache>
            </c:strRef>
          </c:tx>
          <c:spPr>
            <a:ln w="28575" cap="rnd">
              <a:solidFill>
                <a:schemeClr val="accent1"/>
              </a:solidFill>
              <a:round/>
            </a:ln>
            <a:effectLst/>
          </c:spPr>
          <c:marker>
            <c:symbol val="none"/>
          </c:marker>
          <c:cat>
            <c:numRef>
              <c:f>Efficiency!$D$6:$M$6</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Efficiency!$D$7:$M$7</c:f>
              <c:numCache>
                <c:formatCode>0.0\x;;\-.\-\x</c:formatCode>
                <c:ptCount val="10"/>
                <c:pt idx="0">
                  <c:v>1.61992</c:v>
                </c:pt>
                <c:pt idx="1">
                  <c:v>1.4218200000000001</c:v>
                </c:pt>
                <c:pt idx="2">
                  <c:v>1.2966</c:v>
                </c:pt>
                <c:pt idx="3">
                  <c:v>1.2966</c:v>
                </c:pt>
                <c:pt idx="4">
                  <c:v>1.8226899999999999</c:v>
                </c:pt>
                <c:pt idx="5">
                  <c:v>1.6245000000000001</c:v>
                </c:pt>
                <c:pt idx="6">
                  <c:v>1.5223500000000001</c:v>
                </c:pt>
                <c:pt idx="7">
                  <c:v>1.2363900000000001</c:v>
                </c:pt>
                <c:pt idx="8">
                  <c:v>1.28782</c:v>
                </c:pt>
                <c:pt idx="9">
                  <c:v>1.1913800000000001</c:v>
                </c:pt>
              </c:numCache>
            </c:numRef>
          </c:val>
          <c:smooth val="0"/>
          <c:extLst>
            <c:ext xmlns:c16="http://schemas.microsoft.com/office/drawing/2014/chart" uri="{C3380CC4-5D6E-409C-BE32-E72D297353CC}">
              <c16:uniqueId val="{00000000-E630-401F-9F79-39209DD00F9F}"/>
            </c:ext>
          </c:extLst>
        </c:ser>
        <c:ser>
          <c:idx val="1"/>
          <c:order val="1"/>
          <c:tx>
            <c:strRef>
              <c:f>Efficiency!$B$8</c:f>
              <c:strCache>
                <c:ptCount val="1"/>
                <c:pt idx="0">
                  <c:v>NASDAQ:MYRG</c:v>
                </c:pt>
              </c:strCache>
            </c:strRef>
          </c:tx>
          <c:spPr>
            <a:ln w="28575" cap="rnd">
              <a:solidFill>
                <a:schemeClr val="accent2"/>
              </a:solidFill>
              <a:round/>
            </a:ln>
            <a:effectLst/>
          </c:spPr>
          <c:marker>
            <c:symbol val="none"/>
          </c:marker>
          <c:cat>
            <c:numRef>
              <c:f>Efficiency!$D$6:$M$6</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Efficiency!$D$8:$M$8</c:f>
              <c:numCache>
                <c:formatCode>0.0\x;;\-.\-\x</c:formatCode>
                <c:ptCount val="10"/>
                <c:pt idx="0">
                  <c:v>1.8204400000000001</c:v>
                </c:pt>
                <c:pt idx="1">
                  <c:v>1.80576</c:v>
                </c:pt>
                <c:pt idx="2">
                  <c:v>2.0318999999999998</c:v>
                </c:pt>
                <c:pt idx="3">
                  <c:v>2.0318999999999998</c:v>
                </c:pt>
                <c:pt idx="4">
                  <c:v>2.3839899999999998</c:v>
                </c:pt>
                <c:pt idx="5">
                  <c:v>2.2641300000000002</c:v>
                </c:pt>
                <c:pt idx="6">
                  <c:v>2.3581099999999999</c:v>
                </c:pt>
                <c:pt idx="7">
                  <c:v>2.2432099999999999</c:v>
                </c:pt>
                <c:pt idx="8">
                  <c:v>2.3602699999999999</c:v>
                </c:pt>
                <c:pt idx="9">
                  <c:v>2.3877799999999998</c:v>
                </c:pt>
              </c:numCache>
            </c:numRef>
          </c:val>
          <c:smooth val="0"/>
          <c:extLst>
            <c:ext xmlns:c16="http://schemas.microsoft.com/office/drawing/2014/chart" uri="{C3380CC4-5D6E-409C-BE32-E72D297353CC}">
              <c16:uniqueId val="{00000001-E630-401F-9F79-39209DD00F9F}"/>
            </c:ext>
          </c:extLst>
        </c:ser>
        <c:ser>
          <c:idx val="2"/>
          <c:order val="2"/>
          <c:tx>
            <c:strRef>
              <c:f>Efficiency!$B$9</c:f>
              <c:strCache>
                <c:ptCount val="1"/>
                <c:pt idx="0">
                  <c:v>NYSE:PWR</c:v>
                </c:pt>
              </c:strCache>
            </c:strRef>
          </c:tx>
          <c:spPr>
            <a:ln w="28575" cap="rnd">
              <a:solidFill>
                <a:schemeClr val="accent3"/>
              </a:solidFill>
              <a:round/>
            </a:ln>
            <a:effectLst/>
          </c:spPr>
          <c:marker>
            <c:symbol val="none"/>
          </c:marker>
          <c:cat>
            <c:numRef>
              <c:f>Efficiency!$D$6:$M$6</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Efficiency!$D$9:$M$9</c:f>
              <c:numCache>
                <c:formatCode>0.0\x;;\-.\-\x</c:formatCode>
                <c:ptCount val="10"/>
                <c:pt idx="0">
                  <c:v>1.1727799999999999</c:v>
                </c:pt>
                <c:pt idx="1">
                  <c:v>1.2861899999999999</c:v>
                </c:pt>
                <c:pt idx="2">
                  <c:v>1.3207199999999999</c:v>
                </c:pt>
                <c:pt idx="3">
                  <c:v>1.3207199999999999</c:v>
                </c:pt>
                <c:pt idx="4">
                  <c:v>1.59985</c:v>
                </c:pt>
                <c:pt idx="5">
                  <c:v>1.6482000000000001</c:v>
                </c:pt>
                <c:pt idx="6">
                  <c:v>1.5722400000000001</c:v>
                </c:pt>
                <c:pt idx="7">
                  <c:v>1.33924</c:v>
                </c:pt>
                <c:pt idx="8">
                  <c:v>1.2214700000000001</c:v>
                </c:pt>
                <c:pt idx="9">
                  <c:v>1.2974300000000001</c:v>
                </c:pt>
              </c:numCache>
            </c:numRef>
          </c:val>
          <c:smooth val="0"/>
          <c:extLst>
            <c:ext xmlns:c16="http://schemas.microsoft.com/office/drawing/2014/chart" uri="{C3380CC4-5D6E-409C-BE32-E72D297353CC}">
              <c16:uniqueId val="{00000002-E630-401F-9F79-39209DD00F9F}"/>
            </c:ext>
          </c:extLst>
        </c:ser>
        <c:dLbls>
          <c:showLegendKey val="0"/>
          <c:showVal val="0"/>
          <c:showCatName val="0"/>
          <c:showSerName val="0"/>
          <c:showPercent val="0"/>
          <c:showBubbleSize val="0"/>
        </c:dLbls>
        <c:smooth val="0"/>
        <c:axId val="994964383"/>
        <c:axId val="994942335"/>
      </c:lineChart>
      <c:dateAx>
        <c:axId val="994964383"/>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994942335"/>
        <c:crosses val="autoZero"/>
        <c:auto val="1"/>
        <c:lblOffset val="100"/>
        <c:baseTimeUnit val="years"/>
      </c:dateAx>
      <c:valAx>
        <c:axId val="994942335"/>
        <c:scaling>
          <c:orientation val="minMax"/>
        </c:scaling>
        <c:delete val="0"/>
        <c:axPos val="l"/>
        <c:numFmt formatCode="0.0\x"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994964383"/>
        <c:crosses val="autoZero"/>
        <c:crossBetween val="between"/>
        <c:majorUnit val="0.60000000000000009"/>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b="1"/>
              <a:t>Accounts Receivable</a:t>
            </a:r>
            <a:r>
              <a:rPr lang="en-US" b="1" baseline="0"/>
              <a:t> Turns</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Efficiency!$B$13</c:f>
              <c:strCache>
                <c:ptCount val="1"/>
                <c:pt idx="0">
                  <c:v>NYSE:MTZ</c:v>
                </c:pt>
              </c:strCache>
            </c:strRef>
          </c:tx>
          <c:spPr>
            <a:ln w="28575" cap="rnd">
              <a:solidFill>
                <a:schemeClr val="accent1"/>
              </a:solidFill>
              <a:round/>
            </a:ln>
            <a:effectLst/>
          </c:spPr>
          <c:marker>
            <c:symbol val="none"/>
          </c:marker>
          <c:cat>
            <c:numRef>
              <c:f>Efficiency!$D$12:$M$12</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Efficiency!$D$13:$M$13</c:f>
              <c:numCache>
                <c:formatCode>0.0\x;;\-.\-\x</c:formatCode>
                <c:ptCount val="10"/>
                <c:pt idx="0">
                  <c:v>4.2991900000000003</c:v>
                </c:pt>
                <c:pt idx="1">
                  <c:v>3.7828900000000001</c:v>
                </c:pt>
                <c:pt idx="2">
                  <c:v>3.80043</c:v>
                </c:pt>
                <c:pt idx="3">
                  <c:v>3.80043</c:v>
                </c:pt>
                <c:pt idx="4">
                  <c:v>4.7980200000000002</c:v>
                </c:pt>
                <c:pt idx="5">
                  <c:v>3.9235899999999999</c:v>
                </c:pt>
                <c:pt idx="6">
                  <c:v>3.7817599999999998</c:v>
                </c:pt>
                <c:pt idx="7">
                  <c:v>3.4834700000000001</c:v>
                </c:pt>
                <c:pt idx="8">
                  <c:v>3.9744199999999998</c:v>
                </c:pt>
                <c:pt idx="9">
                  <c:v>3.6370800000000001</c:v>
                </c:pt>
              </c:numCache>
            </c:numRef>
          </c:val>
          <c:smooth val="0"/>
          <c:extLst>
            <c:ext xmlns:c16="http://schemas.microsoft.com/office/drawing/2014/chart" uri="{C3380CC4-5D6E-409C-BE32-E72D297353CC}">
              <c16:uniqueId val="{00000000-0A8A-4838-ACFB-9459F91DA265}"/>
            </c:ext>
          </c:extLst>
        </c:ser>
        <c:ser>
          <c:idx val="1"/>
          <c:order val="1"/>
          <c:tx>
            <c:strRef>
              <c:f>Efficiency!$B$14</c:f>
              <c:strCache>
                <c:ptCount val="1"/>
                <c:pt idx="0">
                  <c:v>NASDAQ:MYRG</c:v>
                </c:pt>
              </c:strCache>
            </c:strRef>
          </c:tx>
          <c:spPr>
            <a:ln w="28575" cap="rnd">
              <a:solidFill>
                <a:schemeClr val="accent2"/>
              </a:solidFill>
              <a:round/>
            </a:ln>
            <a:effectLst/>
          </c:spPr>
          <c:marker>
            <c:symbol val="none"/>
          </c:marker>
          <c:cat>
            <c:numRef>
              <c:f>Efficiency!$D$12:$M$12</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Efficiency!$D$14:$M$14</c:f>
              <c:numCache>
                <c:formatCode>0.0\x;;\-.\-\x</c:formatCode>
                <c:ptCount val="10"/>
                <c:pt idx="0">
                  <c:v>4.0802199999999997</c:v>
                </c:pt>
                <c:pt idx="1">
                  <c:v>4.5409600000000001</c:v>
                </c:pt>
                <c:pt idx="2">
                  <c:v>4.8205400000000003</c:v>
                </c:pt>
                <c:pt idx="3">
                  <c:v>4.8205400000000003</c:v>
                </c:pt>
                <c:pt idx="4">
                  <c:v>4.2853899999999996</c:v>
                </c:pt>
                <c:pt idx="5">
                  <c:v>3.8596300000000001</c:v>
                </c:pt>
                <c:pt idx="6">
                  <c:v>3.9802300000000002</c:v>
                </c:pt>
                <c:pt idx="7">
                  <c:v>3.85589</c:v>
                </c:pt>
                <c:pt idx="8">
                  <c:v>4.2938400000000003</c:v>
                </c:pt>
                <c:pt idx="9">
                  <c:v>4.39933</c:v>
                </c:pt>
              </c:numCache>
            </c:numRef>
          </c:val>
          <c:smooth val="0"/>
          <c:extLst>
            <c:ext xmlns:c16="http://schemas.microsoft.com/office/drawing/2014/chart" uri="{C3380CC4-5D6E-409C-BE32-E72D297353CC}">
              <c16:uniqueId val="{00000001-0A8A-4838-ACFB-9459F91DA265}"/>
            </c:ext>
          </c:extLst>
        </c:ser>
        <c:ser>
          <c:idx val="2"/>
          <c:order val="2"/>
          <c:tx>
            <c:strRef>
              <c:f>Efficiency!$B$15</c:f>
              <c:strCache>
                <c:ptCount val="1"/>
                <c:pt idx="0">
                  <c:v>NYSE:PWR</c:v>
                </c:pt>
              </c:strCache>
            </c:strRef>
          </c:tx>
          <c:spPr>
            <a:ln w="28575" cap="rnd">
              <a:solidFill>
                <a:schemeClr val="accent3"/>
              </a:solidFill>
              <a:round/>
            </a:ln>
            <a:effectLst/>
          </c:spPr>
          <c:marker>
            <c:symbol val="none"/>
          </c:marker>
          <c:cat>
            <c:numRef>
              <c:f>Efficiency!$D$12:$M$12</c:f>
              <c:numCache>
                <c:formatCode>m/d/yyyy</c:formatCode>
                <c:ptCount val="10"/>
                <c:pt idx="0">
                  <c:v>41639</c:v>
                </c:pt>
                <c:pt idx="1">
                  <c:v>42004</c:v>
                </c:pt>
                <c:pt idx="2">
                  <c:v>42369</c:v>
                </c:pt>
                <c:pt idx="3">
                  <c:v>42734</c:v>
                </c:pt>
                <c:pt idx="4">
                  <c:v>43100</c:v>
                </c:pt>
                <c:pt idx="5">
                  <c:v>43465</c:v>
                </c:pt>
                <c:pt idx="6">
                  <c:v>43830</c:v>
                </c:pt>
                <c:pt idx="7">
                  <c:v>44196</c:v>
                </c:pt>
                <c:pt idx="8">
                  <c:v>44561</c:v>
                </c:pt>
                <c:pt idx="9">
                  <c:v>44926</c:v>
                </c:pt>
              </c:numCache>
            </c:numRef>
          </c:cat>
          <c:val>
            <c:numRef>
              <c:f>Efficiency!$D$15:$M$15</c:f>
              <c:numCache>
                <c:formatCode>0.0\x;;\-.\-\x</c:formatCode>
                <c:ptCount val="10"/>
                <c:pt idx="0">
                  <c:v>3.85839</c:v>
                </c:pt>
                <c:pt idx="1">
                  <c:v>4.1383099999999997</c:v>
                </c:pt>
                <c:pt idx="2">
                  <c:v>3.7576299999999998</c:v>
                </c:pt>
                <c:pt idx="3">
                  <c:v>3.7576299999999998</c:v>
                </c:pt>
                <c:pt idx="4">
                  <c:v>4.2490699999999997</c:v>
                </c:pt>
                <c:pt idx="5">
                  <c:v>4.1268700000000003</c:v>
                </c:pt>
                <c:pt idx="6">
                  <c:v>3.8568799999999999</c:v>
                </c:pt>
                <c:pt idx="7">
                  <c:v>3.4368799999999999</c:v>
                </c:pt>
                <c:pt idx="8">
                  <c:v>3.5206900000000001</c:v>
                </c:pt>
                <c:pt idx="9">
                  <c:v>3.8117800000000002</c:v>
                </c:pt>
              </c:numCache>
            </c:numRef>
          </c:val>
          <c:smooth val="0"/>
          <c:extLst>
            <c:ext xmlns:c16="http://schemas.microsoft.com/office/drawing/2014/chart" uri="{C3380CC4-5D6E-409C-BE32-E72D297353CC}">
              <c16:uniqueId val="{00000002-0A8A-4838-ACFB-9459F91DA265}"/>
            </c:ext>
          </c:extLst>
        </c:ser>
        <c:dLbls>
          <c:showLegendKey val="0"/>
          <c:showVal val="0"/>
          <c:showCatName val="0"/>
          <c:showSerName val="0"/>
          <c:showPercent val="0"/>
          <c:showBubbleSize val="0"/>
        </c:dLbls>
        <c:smooth val="0"/>
        <c:axId val="1155615503"/>
        <c:axId val="1155612591"/>
      </c:lineChart>
      <c:dateAx>
        <c:axId val="1155615503"/>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55612591"/>
        <c:crosses val="autoZero"/>
        <c:auto val="1"/>
        <c:lblOffset val="100"/>
        <c:baseTimeUnit val="years"/>
      </c:dateAx>
      <c:valAx>
        <c:axId val="1155612591"/>
        <c:scaling>
          <c:orientation val="minMax"/>
        </c:scaling>
        <c:delete val="0"/>
        <c:axPos val="l"/>
        <c:numFmt formatCode="0.0\x"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1155615503"/>
        <c:crosses val="autoZero"/>
        <c:crossBetween val="between"/>
        <c:majorUnit val="1.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3</xdr:col>
      <xdr:colOff>657225</xdr:colOff>
      <xdr:row>2</xdr:row>
      <xdr:rowOff>104776</xdr:rowOff>
    </xdr:from>
    <xdr:to>
      <xdr:col>6</xdr:col>
      <xdr:colOff>409575</xdr:colOff>
      <xdr:row>8</xdr:row>
      <xdr:rowOff>31014</xdr:rowOff>
    </xdr:to>
    <xdr:pic>
      <xdr:nvPicPr>
        <xdr:cNvPr id="2" name="Picture 1" descr="Home - Quanta Services">
          <a:extLst>
            <a:ext uri="{FF2B5EF4-FFF2-40B4-BE49-F238E27FC236}">
              <a16:creationId xmlns:a16="http://schemas.microsoft.com/office/drawing/2014/main" id="{5C34769B-CBC0-B1BB-5D75-9452934891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0475" y="504826"/>
          <a:ext cx="2895600" cy="1126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134471</xdr:colOff>
      <xdr:row>14</xdr:row>
      <xdr:rowOff>146797</xdr:rowOff>
    </xdr:from>
    <xdr:to>
      <xdr:col>3</xdr:col>
      <xdr:colOff>728383</xdr:colOff>
      <xdr:row>28</xdr:row>
      <xdr:rowOff>66114</xdr:rowOff>
    </xdr:to>
    <xdr:graphicFrame macro="">
      <xdr:nvGraphicFramePr>
        <xdr:cNvPr id="2" name="Chart 1">
          <a:extLst>
            <a:ext uri="{FF2B5EF4-FFF2-40B4-BE49-F238E27FC236}">
              <a16:creationId xmlns:a16="http://schemas.microsoft.com/office/drawing/2014/main" id="{1037B04D-CAA2-4B7A-8CEE-F0C571CF7D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829235</xdr:colOff>
      <xdr:row>14</xdr:row>
      <xdr:rowOff>169208</xdr:rowOff>
    </xdr:from>
    <xdr:to>
      <xdr:col>9</xdr:col>
      <xdr:colOff>134470</xdr:colOff>
      <xdr:row>28</xdr:row>
      <xdr:rowOff>88525</xdr:rowOff>
    </xdr:to>
    <xdr:graphicFrame macro="">
      <xdr:nvGraphicFramePr>
        <xdr:cNvPr id="3" name="Chart 2">
          <a:extLst>
            <a:ext uri="{FF2B5EF4-FFF2-40B4-BE49-F238E27FC236}">
              <a16:creationId xmlns:a16="http://schemas.microsoft.com/office/drawing/2014/main" id="{C8AC4C0B-C83D-41D6-953B-54CC027F5C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336177</xdr:colOff>
      <xdr:row>2</xdr:row>
      <xdr:rowOff>180414</xdr:rowOff>
    </xdr:from>
    <xdr:to>
      <xdr:col>18</xdr:col>
      <xdr:colOff>425824</xdr:colOff>
      <xdr:row>16</xdr:row>
      <xdr:rowOff>99732</xdr:rowOff>
    </xdr:to>
    <xdr:graphicFrame macro="">
      <xdr:nvGraphicFramePr>
        <xdr:cNvPr id="2" name="Chart 1">
          <a:extLst>
            <a:ext uri="{FF2B5EF4-FFF2-40B4-BE49-F238E27FC236}">
              <a16:creationId xmlns:a16="http://schemas.microsoft.com/office/drawing/2014/main" id="{2502EFC7-64F8-442E-830C-1A989EC062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340179</xdr:colOff>
      <xdr:row>17</xdr:row>
      <xdr:rowOff>84364</xdr:rowOff>
    </xdr:from>
    <xdr:to>
      <xdr:col>18</xdr:col>
      <xdr:colOff>421821</xdr:colOff>
      <xdr:row>30</xdr:row>
      <xdr:rowOff>174171</xdr:rowOff>
    </xdr:to>
    <xdr:graphicFrame macro="">
      <xdr:nvGraphicFramePr>
        <xdr:cNvPr id="3" name="Chart 2">
          <a:extLst>
            <a:ext uri="{FF2B5EF4-FFF2-40B4-BE49-F238E27FC236}">
              <a16:creationId xmlns:a16="http://schemas.microsoft.com/office/drawing/2014/main" id="{722E03AE-8E08-42E3-BEEB-7DF75C7106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312964</xdr:colOff>
      <xdr:row>31</xdr:row>
      <xdr:rowOff>97971</xdr:rowOff>
    </xdr:from>
    <xdr:to>
      <xdr:col>18</xdr:col>
      <xdr:colOff>394606</xdr:colOff>
      <xdr:row>45</xdr:row>
      <xdr:rowOff>146957</xdr:rowOff>
    </xdr:to>
    <xdr:graphicFrame macro="">
      <xdr:nvGraphicFramePr>
        <xdr:cNvPr id="4" name="Chart 3">
          <a:extLst>
            <a:ext uri="{FF2B5EF4-FFF2-40B4-BE49-F238E27FC236}">
              <a16:creationId xmlns:a16="http://schemas.microsoft.com/office/drawing/2014/main" id="{4DF5917F-8D8D-4584-BB4E-9124C3A3A6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156481</xdr:colOff>
      <xdr:row>2</xdr:row>
      <xdr:rowOff>138792</xdr:rowOff>
    </xdr:from>
    <xdr:to>
      <xdr:col>26</xdr:col>
      <xdr:colOff>442231</xdr:colOff>
      <xdr:row>16</xdr:row>
      <xdr:rowOff>24492</xdr:rowOff>
    </xdr:to>
    <xdr:graphicFrame macro="">
      <xdr:nvGraphicFramePr>
        <xdr:cNvPr id="5" name="Chart 4">
          <a:extLst>
            <a:ext uri="{FF2B5EF4-FFF2-40B4-BE49-F238E27FC236}">
              <a16:creationId xmlns:a16="http://schemas.microsoft.com/office/drawing/2014/main" id="{C83938D9-270E-4327-911D-084405207C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142874</xdr:colOff>
      <xdr:row>17</xdr:row>
      <xdr:rowOff>70758</xdr:rowOff>
    </xdr:from>
    <xdr:to>
      <xdr:col>26</xdr:col>
      <xdr:colOff>428624</xdr:colOff>
      <xdr:row>30</xdr:row>
      <xdr:rowOff>160565</xdr:rowOff>
    </xdr:to>
    <xdr:graphicFrame macro="">
      <xdr:nvGraphicFramePr>
        <xdr:cNvPr id="6" name="Chart 5">
          <a:extLst>
            <a:ext uri="{FF2B5EF4-FFF2-40B4-BE49-F238E27FC236}">
              <a16:creationId xmlns:a16="http://schemas.microsoft.com/office/drawing/2014/main" id="{C3797269-6F81-470A-AF38-F7A8B881EC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21</xdr:row>
      <xdr:rowOff>119062</xdr:rowOff>
    </xdr:from>
    <xdr:to>
      <xdr:col>3</xdr:col>
      <xdr:colOff>742950</xdr:colOff>
      <xdr:row>35</xdr:row>
      <xdr:rowOff>61912</xdr:rowOff>
    </xdr:to>
    <xdr:graphicFrame macro="">
      <xdr:nvGraphicFramePr>
        <xdr:cNvPr id="2" name="Chart 1">
          <a:extLst>
            <a:ext uri="{FF2B5EF4-FFF2-40B4-BE49-F238E27FC236}">
              <a16:creationId xmlns:a16="http://schemas.microsoft.com/office/drawing/2014/main" id="{F94445FF-CAB6-449F-A463-AC901917BA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100012</xdr:colOff>
      <xdr:row>21</xdr:row>
      <xdr:rowOff>109537</xdr:rowOff>
    </xdr:from>
    <xdr:to>
      <xdr:col>8</xdr:col>
      <xdr:colOff>481012</xdr:colOff>
      <xdr:row>35</xdr:row>
      <xdr:rowOff>52387</xdr:rowOff>
    </xdr:to>
    <xdr:graphicFrame macro="">
      <xdr:nvGraphicFramePr>
        <xdr:cNvPr id="3" name="Chart 2">
          <a:extLst>
            <a:ext uri="{FF2B5EF4-FFF2-40B4-BE49-F238E27FC236}">
              <a16:creationId xmlns:a16="http://schemas.microsoft.com/office/drawing/2014/main" id="{7C715A96-FBC9-41EE-9927-F59F79E561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700087</xdr:colOff>
      <xdr:row>21</xdr:row>
      <xdr:rowOff>80962</xdr:rowOff>
    </xdr:from>
    <xdr:to>
      <xdr:col>13</xdr:col>
      <xdr:colOff>33337</xdr:colOff>
      <xdr:row>35</xdr:row>
      <xdr:rowOff>23812</xdr:rowOff>
    </xdr:to>
    <xdr:graphicFrame macro="">
      <xdr:nvGraphicFramePr>
        <xdr:cNvPr id="4" name="Chart 3">
          <a:extLst>
            <a:ext uri="{FF2B5EF4-FFF2-40B4-BE49-F238E27FC236}">
              <a16:creationId xmlns:a16="http://schemas.microsoft.com/office/drawing/2014/main" id="{B188A22E-EDA3-4918-8893-7D284CB6B0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297997</xdr:colOff>
      <xdr:row>4</xdr:row>
      <xdr:rowOff>134029</xdr:rowOff>
    </xdr:from>
    <xdr:to>
      <xdr:col>20</xdr:col>
      <xdr:colOff>229961</xdr:colOff>
      <xdr:row>18</xdr:row>
      <xdr:rowOff>127226</xdr:rowOff>
    </xdr:to>
    <xdr:graphicFrame macro="">
      <xdr:nvGraphicFramePr>
        <xdr:cNvPr id="2" name="Chart 1">
          <a:extLst>
            <a:ext uri="{FF2B5EF4-FFF2-40B4-BE49-F238E27FC236}">
              <a16:creationId xmlns:a16="http://schemas.microsoft.com/office/drawing/2014/main" id="{59555AD5-0DF6-48B9-AD74-4358FBDD5C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285750</xdr:colOff>
      <xdr:row>19</xdr:row>
      <xdr:rowOff>84364</xdr:rowOff>
    </xdr:from>
    <xdr:to>
      <xdr:col>20</xdr:col>
      <xdr:colOff>217714</xdr:colOff>
      <xdr:row>32</xdr:row>
      <xdr:rowOff>174171</xdr:rowOff>
    </xdr:to>
    <xdr:graphicFrame macro="">
      <xdr:nvGraphicFramePr>
        <xdr:cNvPr id="3" name="Chart 2">
          <a:extLst>
            <a:ext uri="{FF2B5EF4-FFF2-40B4-BE49-F238E27FC236}">
              <a16:creationId xmlns:a16="http://schemas.microsoft.com/office/drawing/2014/main" id="{0696968B-E394-4253-A536-0BA452D055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299356</xdr:colOff>
      <xdr:row>33</xdr:row>
      <xdr:rowOff>179614</xdr:rowOff>
    </xdr:from>
    <xdr:to>
      <xdr:col>20</xdr:col>
      <xdr:colOff>231320</xdr:colOff>
      <xdr:row>49</xdr:row>
      <xdr:rowOff>92528</xdr:rowOff>
    </xdr:to>
    <xdr:graphicFrame macro="">
      <xdr:nvGraphicFramePr>
        <xdr:cNvPr id="4" name="Chart 3">
          <a:extLst>
            <a:ext uri="{FF2B5EF4-FFF2-40B4-BE49-F238E27FC236}">
              <a16:creationId xmlns:a16="http://schemas.microsoft.com/office/drawing/2014/main" id="{744A2781-DEB5-4E20-8899-1FC39C3DC3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5</xdr:row>
      <xdr:rowOff>31172</xdr:rowOff>
    </xdr:from>
    <xdr:to>
      <xdr:col>28</xdr:col>
      <xdr:colOff>432954</xdr:colOff>
      <xdr:row>18</xdr:row>
      <xdr:rowOff>173182</xdr:rowOff>
    </xdr:to>
    <xdr:graphicFrame macro="">
      <xdr:nvGraphicFramePr>
        <xdr:cNvPr id="5" name="Chart 4">
          <a:extLst>
            <a:ext uri="{FF2B5EF4-FFF2-40B4-BE49-F238E27FC236}">
              <a16:creationId xmlns:a16="http://schemas.microsoft.com/office/drawing/2014/main" id="{ADF712A4-8366-459C-8168-91A274F302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588819</xdr:colOff>
      <xdr:row>19</xdr:row>
      <xdr:rowOff>135081</xdr:rowOff>
    </xdr:from>
    <xdr:to>
      <xdr:col>28</xdr:col>
      <xdr:colOff>415636</xdr:colOff>
      <xdr:row>33</xdr:row>
      <xdr:rowOff>51955</xdr:rowOff>
    </xdr:to>
    <xdr:graphicFrame macro="">
      <xdr:nvGraphicFramePr>
        <xdr:cNvPr id="6" name="Chart 5">
          <a:extLst>
            <a:ext uri="{FF2B5EF4-FFF2-40B4-BE49-F238E27FC236}">
              <a16:creationId xmlns:a16="http://schemas.microsoft.com/office/drawing/2014/main" id="{78EF8422-4B66-42F7-A986-CBDD3ECABE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597476</xdr:colOff>
      <xdr:row>33</xdr:row>
      <xdr:rowOff>204354</xdr:rowOff>
    </xdr:from>
    <xdr:to>
      <xdr:col>28</xdr:col>
      <xdr:colOff>320385</xdr:colOff>
      <xdr:row>50</xdr:row>
      <xdr:rowOff>38099</xdr:rowOff>
    </xdr:to>
    <xdr:graphicFrame macro="">
      <xdr:nvGraphicFramePr>
        <xdr:cNvPr id="7" name="Chart 6">
          <a:extLst>
            <a:ext uri="{FF2B5EF4-FFF2-40B4-BE49-F238E27FC236}">
              <a16:creationId xmlns:a16="http://schemas.microsoft.com/office/drawing/2014/main" id="{D79E091F-ECF9-4BEE-97ED-552E216DC5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165286</xdr:colOff>
      <xdr:row>51</xdr:row>
      <xdr:rowOff>80961</xdr:rowOff>
    </xdr:from>
    <xdr:to>
      <xdr:col>20</xdr:col>
      <xdr:colOff>47624</xdr:colOff>
      <xdr:row>69</xdr:row>
      <xdr:rowOff>106735</xdr:rowOff>
    </xdr:to>
    <xdr:graphicFrame macro="">
      <xdr:nvGraphicFramePr>
        <xdr:cNvPr id="8" name="Chart 7">
          <a:extLst>
            <a:ext uri="{FF2B5EF4-FFF2-40B4-BE49-F238E27FC236}">
              <a16:creationId xmlns:a16="http://schemas.microsoft.com/office/drawing/2014/main" id="{CE7FEC54-8B0F-4234-B0CF-E8350AA79C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x Lau" id="{0042B725-255E-4617-A319-49DE90CA6E48}" userId="S::mlau2@nd.edu::6489fc35-7338-490e-ad17-268b642a874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8" dT="2023-08-15T00:22:42.06" personId="{0042B725-255E-4617-A319-49DE90CA6E48}" id="{4DB9B31D-C372-4B80-9347-7B8BBB9BB864}">
    <text>Represents adjustments under line items not listed in 2022 10-K</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3-07-31T19:04:10.00" personId="{0042B725-255E-4617-A319-49DE90CA6E48}" id="{5ECCB018-256F-418A-92A0-489D17321C4E}">
    <text>Includes operating lease right of use assets and other assets, net</text>
  </threadedComment>
  <threadedComment ref="B28" dT="2023-08-07T16:58:12.64" personId="{0042B725-255E-4617-A319-49DE90CA6E48}" id="{F47E80F5-6060-48E4-9B71-143F9E4493AD}">
    <text>Includes Senior Credit Facility, as listed in Notes to Financial Statements</text>
  </threadedComment>
</ThreadedComments>
</file>

<file path=xl/threadedComments/threadedComment3.xml><?xml version="1.0" encoding="utf-8"?>
<ThreadedComments xmlns="http://schemas.microsoft.com/office/spreadsheetml/2018/threadedcomments" xmlns:x="http://schemas.openxmlformats.org/spreadsheetml/2006/main">
  <threadedComment ref="F8" dT="2023-08-07T18:03:34.02" personId="{0042B725-255E-4617-A319-49DE90CA6E48}" id="{F3CD0BDD-B761-4ACB-B772-74E44DE5DC5E}">
    <text>2017 Balance Sheet</text>
  </threadedComment>
</ThreadedComments>
</file>

<file path=xl/threadedComments/threadedComment4.xml><?xml version="1.0" encoding="utf-8"?>
<ThreadedComments xmlns="http://schemas.microsoft.com/office/spreadsheetml/2018/threadedcomments" xmlns:x="http://schemas.openxmlformats.org/spreadsheetml/2006/main">
  <threadedComment ref="K33" dT="2023-08-07T21:18:50.58" personId="{0042B725-255E-4617-A319-49DE90CA6E48}" id="{DA7535C2-F406-4502-BDF9-10C6B3869B1D}">
    <text>20 Quarter Average</text>
  </threadedComment>
</ThreadedComments>
</file>

<file path=xl/threadedComments/threadedComment5.xml><?xml version="1.0" encoding="utf-8"?>
<ThreadedComments xmlns="http://schemas.microsoft.com/office/spreadsheetml/2018/threadedcomments" xmlns:x="http://schemas.openxmlformats.org/spreadsheetml/2006/main">
  <threadedComment ref="F17" dT="2023-08-08T01:03:56.59" personId="{0042B725-255E-4617-A319-49DE90CA6E48}" id="{BDC4BDAE-846C-47F6-AA99-B3218B8F2B40}">
    <text>CFO - CapEx</text>
  </threadedComment>
</ThreadedComments>
</file>

<file path=xl/threadedComments/threadedComment6.xml><?xml version="1.0" encoding="utf-8"?>
<ThreadedComments xmlns="http://schemas.microsoft.com/office/spreadsheetml/2018/threadedcomments" xmlns:x="http://schemas.openxmlformats.org/spreadsheetml/2006/main">
  <threadedComment ref="H7" dT="2023-08-08T01:33:45.30" personId="{0042B725-255E-4617-A319-49DE90CA6E48}" id="{0368F4B8-674D-41DE-9DF7-F5183DD8F296}">
    <text>Average Long-Term Debt Interest Rate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9CA0F-3B60-421A-99F0-5C9E0C44DE6D}">
  <sheetPr>
    <tabColor theme="8" tint="-0.499984740745262"/>
  </sheetPr>
  <dimension ref="A1:J26"/>
  <sheetViews>
    <sheetView showGridLines="0" workbookViewId="0">
      <selection activeCell="G14" sqref="G14"/>
    </sheetView>
  </sheetViews>
  <sheetFormatPr defaultColWidth="12.7109375" defaultRowHeight="15.75" x14ac:dyDescent="0.25"/>
  <cols>
    <col min="1" max="10" width="15.7109375" style="43" customWidth="1"/>
    <col min="11" max="16384" width="12.7109375" style="43"/>
  </cols>
  <sheetData>
    <row r="1" spans="1:10" x14ac:dyDescent="0.25">
      <c r="A1" s="2"/>
      <c r="B1" s="2"/>
      <c r="C1" s="2"/>
      <c r="D1" s="2"/>
      <c r="E1" s="2"/>
      <c r="F1" s="2"/>
      <c r="G1" s="2"/>
      <c r="H1" s="2"/>
      <c r="I1" s="2"/>
      <c r="J1" s="2"/>
    </row>
    <row r="2" spans="1:10" x14ac:dyDescent="0.25">
      <c r="A2" s="2"/>
      <c r="B2" s="2"/>
      <c r="C2" s="2"/>
      <c r="D2" s="2"/>
      <c r="E2" s="2"/>
      <c r="F2" s="2"/>
      <c r="G2" s="2"/>
      <c r="H2" s="2"/>
      <c r="I2" s="2"/>
      <c r="J2" s="2"/>
    </row>
    <row r="3" spans="1:10" x14ac:dyDescent="0.25">
      <c r="A3" s="2"/>
      <c r="B3" s="2"/>
      <c r="C3" s="2"/>
      <c r="D3" s="2"/>
      <c r="E3" s="2"/>
      <c r="F3" s="2"/>
      <c r="G3" s="2"/>
      <c r="H3" s="2"/>
      <c r="I3" s="2"/>
      <c r="J3" s="2"/>
    </row>
    <row r="4" spans="1:10" x14ac:dyDescent="0.25">
      <c r="A4" s="2"/>
      <c r="B4" s="2"/>
      <c r="C4" s="2"/>
      <c r="D4"/>
      <c r="E4" s="2"/>
      <c r="F4" s="2"/>
      <c r="G4" s="2"/>
      <c r="H4" s="2"/>
      <c r="I4" s="2"/>
      <c r="J4" s="2"/>
    </row>
    <row r="5" spans="1:10" x14ac:dyDescent="0.25">
      <c r="A5" s="2"/>
      <c r="B5" s="2"/>
      <c r="C5" s="2"/>
      <c r="D5" s="2"/>
      <c r="E5" s="2"/>
      <c r="F5" s="2"/>
      <c r="G5" s="2"/>
      <c r="H5" s="2"/>
      <c r="I5" s="2"/>
      <c r="J5" s="2"/>
    </row>
    <row r="6" spans="1:10" x14ac:dyDescent="0.25">
      <c r="A6" s="2"/>
      <c r="B6" s="2"/>
      <c r="C6" s="2"/>
      <c r="D6" s="2"/>
      <c r="E6" s="2"/>
      <c r="F6" s="2"/>
      <c r="G6" s="2"/>
      <c r="H6" s="2"/>
      <c r="I6" s="2"/>
      <c r="J6" s="2"/>
    </row>
    <row r="7" spans="1:10" x14ac:dyDescent="0.25">
      <c r="A7" s="2"/>
      <c r="B7" s="2"/>
      <c r="C7" s="2"/>
      <c r="D7" s="2"/>
      <c r="E7" s="2"/>
      <c r="F7" s="2"/>
      <c r="G7" s="2"/>
      <c r="H7" s="2"/>
      <c r="I7" s="2"/>
      <c r="J7" s="2"/>
    </row>
    <row r="8" spans="1:10" x14ac:dyDescent="0.25">
      <c r="A8" s="2"/>
      <c r="B8" s="2"/>
      <c r="C8" s="2"/>
      <c r="D8" s="2"/>
      <c r="E8" s="2"/>
      <c r="F8" s="2"/>
      <c r="G8" s="2"/>
      <c r="H8" s="2"/>
      <c r="I8" s="2"/>
      <c r="J8" s="2"/>
    </row>
    <row r="9" spans="1:10" x14ac:dyDescent="0.25">
      <c r="A9" s="2"/>
      <c r="B9" s="2"/>
      <c r="C9" s="2"/>
      <c r="D9" s="2"/>
      <c r="E9" s="2"/>
      <c r="F9" s="2"/>
      <c r="G9" s="2"/>
      <c r="H9" s="2"/>
      <c r="I9" s="2"/>
      <c r="J9" s="2"/>
    </row>
    <row r="10" spans="1:10" x14ac:dyDescent="0.25">
      <c r="A10" s="2"/>
      <c r="B10" s="2"/>
      <c r="C10" s="2"/>
      <c r="D10" s="357" t="s">
        <v>153</v>
      </c>
      <c r="E10" s="358"/>
      <c r="F10" s="358"/>
      <c r="G10" s="359"/>
      <c r="H10" s="2"/>
      <c r="I10" s="2"/>
      <c r="J10" s="2"/>
    </row>
    <row r="11" spans="1:10" x14ac:dyDescent="0.25">
      <c r="A11" s="2"/>
      <c r="B11" s="2"/>
      <c r="C11" s="2"/>
      <c r="D11" s="360" t="s">
        <v>0</v>
      </c>
      <c r="E11" s="361"/>
      <c r="F11" s="361"/>
      <c r="G11" s="362"/>
      <c r="H11" s="2"/>
      <c r="I11" s="2"/>
      <c r="J11" s="2"/>
    </row>
    <row r="12" spans="1:10" x14ac:dyDescent="0.25">
      <c r="A12" s="2"/>
      <c r="B12" s="2"/>
      <c r="C12" s="2"/>
      <c r="D12" s="2"/>
      <c r="E12" s="2"/>
      <c r="F12" s="2"/>
      <c r="G12" s="2"/>
      <c r="H12" s="2"/>
      <c r="I12" s="2"/>
      <c r="J12" s="2"/>
    </row>
    <row r="13" spans="1:10" x14ac:dyDescent="0.25">
      <c r="A13" s="2"/>
      <c r="B13" s="2"/>
      <c r="C13" s="2"/>
      <c r="D13" s="4" t="s">
        <v>1</v>
      </c>
      <c r="E13" s="2"/>
      <c r="F13" s="2"/>
      <c r="G13" s="5">
        <f ca="1">+TODAY()-1</f>
        <v>45186</v>
      </c>
      <c r="H13" s="2"/>
      <c r="I13" s="2"/>
      <c r="J13" s="2"/>
    </row>
    <row r="14" spans="1:10" x14ac:dyDescent="0.25">
      <c r="A14" s="2"/>
      <c r="B14" s="2"/>
      <c r="C14" s="2"/>
      <c r="D14" s="2"/>
      <c r="E14" s="2"/>
      <c r="F14" s="2"/>
      <c r="G14" s="2"/>
      <c r="H14" s="2"/>
      <c r="I14" s="2"/>
      <c r="J14" s="2"/>
    </row>
    <row r="15" spans="1:10" x14ac:dyDescent="0.25">
      <c r="A15" s="2"/>
      <c r="B15" s="2"/>
      <c r="C15" s="2"/>
      <c r="D15" s="4" t="s">
        <v>2</v>
      </c>
      <c r="E15" s="2"/>
      <c r="F15" s="2"/>
      <c r="G15" s="44">
        <v>199.24</v>
      </c>
      <c r="H15" s="183"/>
      <c r="I15" s="149"/>
      <c r="J15" s="2"/>
    </row>
    <row r="16" spans="1:10" x14ac:dyDescent="0.25">
      <c r="A16" s="2"/>
      <c r="B16" s="2"/>
      <c r="C16" s="2"/>
      <c r="D16" s="2"/>
      <c r="E16" s="2"/>
      <c r="F16" s="2"/>
      <c r="G16" s="2"/>
      <c r="H16" s="2"/>
      <c r="I16" s="2"/>
      <c r="J16" s="2"/>
    </row>
    <row r="17" spans="1:10" x14ac:dyDescent="0.25">
      <c r="A17" s="2"/>
      <c r="B17" s="2"/>
      <c r="C17" s="2"/>
      <c r="D17" s="4" t="s">
        <v>54</v>
      </c>
      <c r="E17" s="2"/>
      <c r="F17" s="2"/>
      <c r="G17" s="3">
        <v>1</v>
      </c>
      <c r="H17" s="2"/>
      <c r="I17" s="2"/>
      <c r="J17" s="2"/>
    </row>
    <row r="18" spans="1:10" x14ac:dyDescent="0.25">
      <c r="A18" s="2"/>
      <c r="B18" s="2"/>
      <c r="C18" s="2"/>
      <c r="D18" s="2"/>
      <c r="E18" s="2"/>
      <c r="F18" s="2"/>
      <c r="G18" s="2"/>
      <c r="H18" s="2"/>
      <c r="I18" s="2"/>
      <c r="J18" s="2"/>
    </row>
    <row r="19" spans="1:10" x14ac:dyDescent="0.25">
      <c r="A19" s="2"/>
      <c r="B19" s="2"/>
      <c r="C19" s="2"/>
      <c r="D19" s="4" t="s">
        <v>154</v>
      </c>
      <c r="E19" s="2"/>
      <c r="F19" s="2"/>
      <c r="G19" s="3">
        <v>1</v>
      </c>
      <c r="H19" s="2"/>
      <c r="I19" s="2"/>
      <c r="J19" s="2"/>
    </row>
    <row r="20" spans="1:10" x14ac:dyDescent="0.25">
      <c r="A20" s="2"/>
      <c r="B20" s="2"/>
      <c r="C20" s="2"/>
      <c r="D20" s="2"/>
      <c r="E20" s="2"/>
      <c r="F20" s="2"/>
      <c r="G20" s="2"/>
      <c r="H20" s="2"/>
      <c r="I20" s="2"/>
      <c r="J20" s="2"/>
    </row>
    <row r="21" spans="1:10" x14ac:dyDescent="0.25">
      <c r="A21" s="2"/>
      <c r="B21" s="2"/>
      <c r="C21" s="2"/>
      <c r="D21" s="4" t="s">
        <v>155</v>
      </c>
      <c r="E21" s="2"/>
      <c r="F21" s="2"/>
      <c r="G21" s="3">
        <v>1</v>
      </c>
      <c r="H21" s="2"/>
      <c r="I21" s="2"/>
      <c r="J21" s="2"/>
    </row>
    <row r="22" spans="1:10" x14ac:dyDescent="0.25">
      <c r="A22" s="2"/>
      <c r="B22" s="2"/>
      <c r="C22" s="2"/>
      <c r="D22" s="2"/>
      <c r="E22" s="2"/>
      <c r="F22" s="2"/>
      <c r="G22" s="2"/>
      <c r="H22" s="2"/>
      <c r="I22" s="2"/>
      <c r="J22" s="2"/>
    </row>
    <row r="23" spans="1:10" x14ac:dyDescent="0.25">
      <c r="A23" s="2"/>
      <c r="B23" s="2"/>
      <c r="C23" s="2"/>
      <c r="D23" s="4" t="s">
        <v>156</v>
      </c>
      <c r="E23" s="2"/>
      <c r="F23" s="2"/>
      <c r="G23" s="3">
        <v>1</v>
      </c>
      <c r="H23" s="2"/>
      <c r="I23" s="2"/>
      <c r="J23" s="46">
        <v>0</v>
      </c>
    </row>
    <row r="24" spans="1:10" x14ac:dyDescent="0.25">
      <c r="A24" s="45"/>
      <c r="B24" s="45"/>
      <c r="C24" s="45"/>
      <c r="D24" s="45"/>
      <c r="E24" s="45"/>
      <c r="F24" s="45"/>
      <c r="G24" s="45"/>
      <c r="H24" s="45"/>
      <c r="I24" s="45"/>
      <c r="J24" s="47">
        <v>1</v>
      </c>
    </row>
    <row r="25" spans="1:10" x14ac:dyDescent="0.25">
      <c r="A25" s="45"/>
      <c r="B25" s="45"/>
      <c r="C25" s="45"/>
      <c r="D25" s="4" t="s">
        <v>207</v>
      </c>
      <c r="E25" s="2"/>
      <c r="F25" s="2"/>
      <c r="G25" s="3">
        <v>1</v>
      </c>
      <c r="H25" s="45"/>
      <c r="I25" s="45"/>
      <c r="J25" s="47">
        <v>2</v>
      </c>
    </row>
    <row r="26" spans="1:10" x14ac:dyDescent="0.25">
      <c r="A26" s="45"/>
      <c r="B26" s="45"/>
      <c r="C26" s="45"/>
      <c r="D26" s="45"/>
      <c r="E26" s="45"/>
      <c r="F26" s="45"/>
      <c r="G26" s="45"/>
      <c r="H26" s="45"/>
      <c r="I26" s="45"/>
      <c r="J26" s="47">
        <v>3</v>
      </c>
    </row>
  </sheetData>
  <mergeCells count="2">
    <mergeCell ref="D10:G10"/>
    <mergeCell ref="D11:G11"/>
  </mergeCells>
  <dataValidations count="2">
    <dataValidation type="list" allowBlank="1" showInputMessage="1" showErrorMessage="1" sqref="G17" xr:uid="{C610C46F-00EE-449F-979C-BC911B1C783C}">
      <formula1>$J$23:$J$24</formula1>
    </dataValidation>
    <dataValidation type="list" allowBlank="1" showInputMessage="1" showErrorMessage="1" sqref="G19 G21 G23 G25" xr:uid="{33C2328F-9121-4379-A902-6CE771277A44}">
      <formula1>$J$24:$J$26</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5331F-6361-4F2B-A295-0DA6CC92F6DE}">
  <sheetPr>
    <tabColor theme="4" tint="-0.249977111117893"/>
  </sheetPr>
  <dimension ref="B1:Q30"/>
  <sheetViews>
    <sheetView showGridLines="0" zoomScaleNormal="100" workbookViewId="0">
      <selection activeCell="K21" sqref="K21"/>
    </sheetView>
  </sheetViews>
  <sheetFormatPr defaultColWidth="12.7109375" defaultRowHeight="15.75" x14ac:dyDescent="0.25"/>
  <cols>
    <col min="1" max="1" width="5.7109375" style="1" customWidth="1"/>
    <col min="2" max="15" width="12.7109375" style="1"/>
    <col min="16" max="16" width="2.7109375" style="1" customWidth="1"/>
    <col min="17" max="17" width="12.7109375" style="1"/>
    <col min="18" max="18" width="2.7109375" style="1" customWidth="1"/>
    <col min="19" max="16384" width="12.7109375" style="1"/>
  </cols>
  <sheetData>
    <row r="1" spans="2:17" s="6" customFormat="1" x14ac:dyDescent="0.25"/>
    <row r="2" spans="2:17" s="6" customFormat="1" ht="18.75" x14ac:dyDescent="0.25">
      <c r="B2" s="8" t="s">
        <v>52</v>
      </c>
    </row>
    <row r="3" spans="2:17" s="6" customFormat="1" x14ac:dyDescent="0.25">
      <c r="B3" s="18"/>
    </row>
    <row r="4" spans="2:17" s="6" customFormat="1" ht="16.5" thickBot="1" x14ac:dyDescent="0.3">
      <c r="B4" s="10" t="s">
        <v>5</v>
      </c>
      <c r="C4" s="10"/>
      <c r="D4" s="10"/>
      <c r="E4" s="10"/>
      <c r="F4" s="11">
        <v>2018</v>
      </c>
      <c r="G4" s="11">
        <v>2019</v>
      </c>
      <c r="H4" s="11">
        <v>2020</v>
      </c>
      <c r="I4" s="11">
        <v>2021</v>
      </c>
      <c r="J4" s="11">
        <v>2022</v>
      </c>
      <c r="K4" s="12">
        <f>J4+1</f>
        <v>2023</v>
      </c>
      <c r="L4" s="12">
        <f t="shared" ref="L4:O4" si="0">K4+1</f>
        <v>2024</v>
      </c>
      <c r="M4" s="12">
        <f t="shared" si="0"/>
        <v>2025</v>
      </c>
      <c r="N4" s="12">
        <f t="shared" si="0"/>
        <v>2026</v>
      </c>
      <c r="O4" s="12">
        <f t="shared" si="0"/>
        <v>2027</v>
      </c>
      <c r="Q4" s="199" t="s">
        <v>76</v>
      </c>
    </row>
    <row r="5" spans="2:17" s="9" customFormat="1" x14ac:dyDescent="0.25">
      <c r="B5" s="9" t="s">
        <v>4</v>
      </c>
      <c r="J5" s="17"/>
    </row>
    <row r="6" spans="2:17" x14ac:dyDescent="0.25">
      <c r="J6" s="82"/>
    </row>
    <row r="7" spans="2:17" x14ac:dyDescent="0.25">
      <c r="B7" s="19" t="s">
        <v>30</v>
      </c>
      <c r="J7" s="82"/>
    </row>
    <row r="8" spans="2:17" x14ac:dyDescent="0.25">
      <c r="B8" s="377" t="s">
        <v>60</v>
      </c>
      <c r="C8" s="377"/>
      <c r="D8" s="377"/>
      <c r="E8" s="377"/>
      <c r="F8" s="83">
        <v>3795.6</v>
      </c>
      <c r="G8" s="103">
        <f>F14</f>
        <v>3605.4530000000004</v>
      </c>
      <c r="H8" s="103">
        <f t="shared" ref="H8:J8" si="1">G14</f>
        <v>4053.8310000000001</v>
      </c>
      <c r="I8" s="103">
        <f t="shared" si="1"/>
        <v>4348.9719999999988</v>
      </c>
      <c r="J8" s="118">
        <f t="shared" si="1"/>
        <v>5116.9210000000003</v>
      </c>
      <c r="K8" s="103">
        <f>J14</f>
        <v>5398.8190000000013</v>
      </c>
      <c r="L8" s="103">
        <f t="shared" ref="L8:O8" ca="1" si="2">K14</f>
        <v>6015.7841793300804</v>
      </c>
      <c r="M8" s="103">
        <f t="shared" ca="1" si="2"/>
        <v>6791.2932867288073</v>
      </c>
      <c r="N8" s="103">
        <f t="shared" ca="1" si="2"/>
        <v>7736.7206027873126</v>
      </c>
      <c r="O8" s="103">
        <f t="shared" ca="1" si="2"/>
        <v>8874.671383946179</v>
      </c>
    </row>
    <row r="9" spans="2:17" x14ac:dyDescent="0.25">
      <c r="B9" s="378" t="s">
        <v>77</v>
      </c>
      <c r="C9" s="378"/>
      <c r="D9" s="378"/>
      <c r="E9" s="378"/>
      <c r="F9" s="97">
        <f>'Income Statement'!F30</f>
        <v>270.85000000000014</v>
      </c>
      <c r="G9" s="97">
        <f>'Income Statement'!G30</f>
        <v>402.04400000000049</v>
      </c>
      <c r="H9" s="97">
        <f>'Income Statement'!H30</f>
        <v>445.59599999999898</v>
      </c>
      <c r="I9" s="97">
        <f>'Income Statement'!I30</f>
        <v>485.95600000000064</v>
      </c>
      <c r="J9" s="97">
        <f>'Income Statement'!J30</f>
        <v>491.18899999999974</v>
      </c>
      <c r="K9" s="127">
        <f ca="1">'Income Statement'!K30</f>
        <v>686.27296120791084</v>
      </c>
      <c r="L9" s="97">
        <f ca="1">'Income Statement'!L30</f>
        <v>856.01012490272251</v>
      </c>
      <c r="M9" s="97">
        <f ca="1">'Income Statement'!M30</f>
        <v>1035.0393585696361</v>
      </c>
      <c r="N9" s="97">
        <f ca="1">'Income Statement'!N30</f>
        <v>1237.2099529349132</v>
      </c>
      <c r="O9" s="97">
        <f ca="1">'Income Statement'!O30</f>
        <v>1422.497810506077</v>
      </c>
    </row>
    <row r="10" spans="2:17" x14ac:dyDescent="0.25">
      <c r="B10" s="378" t="s">
        <v>80</v>
      </c>
      <c r="C10" s="378"/>
      <c r="D10" s="378"/>
      <c r="E10" s="378"/>
      <c r="F10" s="97">
        <f>'Cash Flow Statement'!F10</f>
        <v>52.484000000000002</v>
      </c>
      <c r="G10" s="97">
        <f>'Cash Flow Statement'!G10</f>
        <v>52.012999999999998</v>
      </c>
      <c r="H10" s="97">
        <f>'Cash Flow Statement'!H10</f>
        <v>91.641000000000005</v>
      </c>
      <c r="I10" s="97">
        <f>'Cash Flow Statement'!I10</f>
        <v>88.259</v>
      </c>
      <c r="J10" s="98">
        <f>'Cash Flow Statement'!J10</f>
        <v>105.6</v>
      </c>
      <c r="K10" s="97">
        <f>K16*'Income Statement'!K$7</f>
        <v>115.7687720072619</v>
      </c>
      <c r="L10" s="97">
        <f ca="1">L16*'Income Statement'!L$7</f>
        <v>134.46547688108123</v>
      </c>
      <c r="M10" s="97">
        <f ca="1">M16*'Income Statement'!M$7</f>
        <v>149.68414566870348</v>
      </c>
      <c r="N10" s="97">
        <f ca="1">N16*'Income Statement'!N$7</f>
        <v>165.79830021434009</v>
      </c>
      <c r="O10" s="97">
        <f ca="1">O16*'Income Statement'!O$7</f>
        <v>177.60087761437902</v>
      </c>
    </row>
    <row r="11" spans="2:17" x14ac:dyDescent="0.25">
      <c r="B11" s="378" t="s">
        <v>78</v>
      </c>
      <c r="C11" s="378"/>
      <c r="D11" s="378"/>
      <c r="E11" s="378"/>
      <c r="F11" s="97">
        <f>'Cash Flow Statement'!F25</f>
        <v>0</v>
      </c>
      <c r="G11" s="97">
        <f>'Cash Flow Statement'!G25</f>
        <v>-23.236000000000001</v>
      </c>
      <c r="H11" s="97">
        <f>'Cash Flow Statement'!H25</f>
        <v>-28.890999999999998</v>
      </c>
      <c r="I11" s="97">
        <f>'Cash Flow Statement'!I25</f>
        <v>-34.021999999999998</v>
      </c>
      <c r="J11" s="98">
        <f>'Cash Flow Statement'!J25</f>
        <v>-41.058</v>
      </c>
      <c r="K11" s="97">
        <f>-K17*'Income Statement'!K$7</f>
        <v>-45.011687888959841</v>
      </c>
      <c r="L11" s="97">
        <f ca="1">-L17*'Income Statement'!L$7</f>
        <v>-52.281094221434024</v>
      </c>
      <c r="M11" s="97">
        <f ca="1">-M17*'Income Statement'!M$7</f>
        <v>-58.198216409712387</v>
      </c>
      <c r="N11" s="97">
        <f ca="1">-N17*'Income Statement'!N$7</f>
        <v>-64.463509566291435</v>
      </c>
      <c r="O11" s="97">
        <f ca="1">-O17*'Income Statement'!O$7</f>
        <v>-69.052432131545203</v>
      </c>
    </row>
    <row r="12" spans="2:17" x14ac:dyDescent="0.25">
      <c r="B12" s="378" t="s">
        <v>79</v>
      </c>
      <c r="C12" s="378"/>
      <c r="D12" s="378"/>
      <c r="E12" s="378"/>
      <c r="F12" s="97">
        <f>'Cash Flow Statement'!F24</f>
        <v>-443.15199999999999</v>
      </c>
      <c r="G12" s="97">
        <f>'Cash Flow Statement'!G24</f>
        <v>-20.091999999999999</v>
      </c>
      <c r="H12" s="97">
        <f>'Cash Flow Statement'!H24</f>
        <v>-247.249</v>
      </c>
      <c r="I12" s="97">
        <f>'Cash Flow Statement'!I24</f>
        <v>-66.686999999999998</v>
      </c>
      <c r="J12" s="98">
        <f>'Cash Flow Statement'!J24</f>
        <v>-127.762</v>
      </c>
      <c r="K12" s="97">
        <f>-K18*'Income Statement'!K$7</f>
        <v>-140.06486599613444</v>
      </c>
      <c r="L12" s="97">
        <f ca="1">-L18*'Income Statement'!L$7</f>
        <v>-162.68540016364298</v>
      </c>
      <c r="M12" s="97">
        <f ca="1">-M18*'Income Statement'!M$7</f>
        <v>-181.09797177012211</v>
      </c>
      <c r="N12" s="97">
        <f ca="1">-N18*'Income Statement'!N$7</f>
        <v>-200.59396242409582</v>
      </c>
      <c r="O12" s="97">
        <f ca="1">-O18*'Income Statement'!O$7</f>
        <v>-214.8735163425028</v>
      </c>
    </row>
    <row r="13" spans="2:17" x14ac:dyDescent="0.25">
      <c r="B13" s="28" t="s">
        <v>175</v>
      </c>
      <c r="C13" s="28"/>
      <c r="D13" s="28"/>
      <c r="E13" s="28"/>
      <c r="F13" s="83">
        <v>-70.328999999999724</v>
      </c>
      <c r="G13" s="83">
        <v>37.648999999999432</v>
      </c>
      <c r="H13" s="83">
        <v>34.043999999999869</v>
      </c>
      <c r="I13" s="83">
        <v>294.44300000000021</v>
      </c>
      <c r="J13" s="84">
        <v>-146.070999999999</v>
      </c>
      <c r="K13" s="83">
        <v>0</v>
      </c>
      <c r="L13" s="83">
        <v>0</v>
      </c>
      <c r="M13" s="83">
        <v>0</v>
      </c>
      <c r="N13" s="83">
        <v>0</v>
      </c>
      <c r="O13" s="83">
        <v>0</v>
      </c>
    </row>
    <row r="14" spans="2:17" s="19" customFormat="1" x14ac:dyDescent="0.25">
      <c r="B14" s="379" t="s">
        <v>61</v>
      </c>
      <c r="C14" s="379"/>
      <c r="D14" s="379"/>
      <c r="E14" s="379"/>
      <c r="F14" s="134">
        <f>'Balance Sheet'!F37</f>
        <v>3605.4530000000004</v>
      </c>
      <c r="G14" s="134">
        <f>SUM(G8:G13)</f>
        <v>4053.8310000000001</v>
      </c>
      <c r="H14" s="134">
        <f t="shared" ref="H14:J14" si="3">SUM(H8:H13)</f>
        <v>4348.9719999999988</v>
      </c>
      <c r="I14" s="134">
        <f t="shared" si="3"/>
        <v>5116.9210000000003</v>
      </c>
      <c r="J14" s="134">
        <f t="shared" si="3"/>
        <v>5398.8190000000013</v>
      </c>
      <c r="K14" s="136">
        <f t="shared" ref="K14" ca="1" si="4">SUM(K8:K13)</f>
        <v>6015.7841793300804</v>
      </c>
      <c r="L14" s="134">
        <f t="shared" ref="L14" ca="1" si="5">SUM(L8:L13)</f>
        <v>6791.2932867288073</v>
      </c>
      <c r="M14" s="134">
        <f t="shared" ref="M14" ca="1" si="6">SUM(M8:M13)</f>
        <v>7736.7206027873126</v>
      </c>
      <c r="N14" s="134">
        <f t="shared" ref="N14" ca="1" si="7">SUM(N8:N13)</f>
        <v>8874.671383946179</v>
      </c>
      <c r="O14" s="134">
        <f t="shared" ref="O14" ca="1" si="8">SUM(O8:O13)</f>
        <v>10190.844123592586</v>
      </c>
    </row>
    <row r="15" spans="2:17" x14ac:dyDescent="0.25">
      <c r="B15" s="374"/>
      <c r="C15" s="374"/>
      <c r="D15" s="374"/>
      <c r="E15" s="374"/>
      <c r="F15" s="27"/>
      <c r="G15" s="27"/>
      <c r="H15" s="27"/>
      <c r="I15" s="27"/>
      <c r="J15" s="144"/>
      <c r="K15" s="27"/>
      <c r="L15" s="27"/>
      <c r="M15" s="27"/>
      <c r="N15" s="27"/>
    </row>
    <row r="16" spans="2:17" x14ac:dyDescent="0.25">
      <c r="B16" s="380" t="s">
        <v>81</v>
      </c>
      <c r="C16" s="381"/>
      <c r="D16" s="381"/>
      <c r="E16" s="381"/>
      <c r="F16" s="143">
        <f>F10/'Income Statement'!F7</f>
        <v>4.6980586090062115E-3</v>
      </c>
      <c r="G16" s="143">
        <f>G10/'Income Statement'!G7</f>
        <v>4.2942819497078675E-3</v>
      </c>
      <c r="H16" s="143">
        <f>H10/'Income Statement'!H7</f>
        <v>8.1802805616374378E-3</v>
      </c>
      <c r="I16" s="143">
        <f>I10/'Income Statement'!I7</f>
        <v>6.7995032130828675E-3</v>
      </c>
      <c r="J16" s="143">
        <f>J10/'Income Statement'!J7</f>
        <v>6.184877587743119E-3</v>
      </c>
      <c r="K16" s="147">
        <f>J16+$Q16</f>
        <v>6.184877587743119E-3</v>
      </c>
      <c r="L16" s="137">
        <f t="shared" ref="L16:O16" si="9">K16+$Q16</f>
        <v>6.184877587743119E-3</v>
      </c>
      <c r="M16" s="137">
        <f t="shared" si="9"/>
        <v>6.184877587743119E-3</v>
      </c>
      <c r="N16" s="137">
        <f t="shared" si="9"/>
        <v>6.184877587743119E-3</v>
      </c>
      <c r="O16" s="138">
        <f t="shared" si="9"/>
        <v>6.184877587743119E-3</v>
      </c>
      <c r="Q16" s="198">
        <v>0</v>
      </c>
    </row>
    <row r="17" spans="2:17" x14ac:dyDescent="0.25">
      <c r="B17" s="375" t="s">
        <v>82</v>
      </c>
      <c r="C17" s="376"/>
      <c r="D17" s="376"/>
      <c r="E17" s="376"/>
      <c r="F17" s="130">
        <f>-F11/'Income Statement'!F7</f>
        <v>0</v>
      </c>
      <c r="G17" s="130">
        <f>-G11/'Income Statement'!G7</f>
        <v>1.9184037718149697E-3</v>
      </c>
      <c r="H17" s="130">
        <f>-H11/'Income Statement'!H7</f>
        <v>2.5789383104316537E-3</v>
      </c>
      <c r="I17" s="130">
        <f>-I11/'Income Statement'!I7</f>
        <v>2.621066387739554E-3</v>
      </c>
      <c r="J17" s="130">
        <f>-J11/'Income Statement'!J7</f>
        <v>2.4047225757344412E-3</v>
      </c>
      <c r="K17" s="146">
        <f t="shared" ref="K17:O17" si="10">J17+$Q17</f>
        <v>2.4047225757344412E-3</v>
      </c>
      <c r="L17" s="139">
        <f t="shared" si="10"/>
        <v>2.4047225757344412E-3</v>
      </c>
      <c r="M17" s="139">
        <f t="shared" si="10"/>
        <v>2.4047225757344412E-3</v>
      </c>
      <c r="N17" s="139">
        <f t="shared" si="10"/>
        <v>2.4047225757344412E-3</v>
      </c>
      <c r="O17" s="140">
        <f t="shared" si="10"/>
        <v>2.4047225757344412E-3</v>
      </c>
      <c r="Q17" s="198">
        <v>0</v>
      </c>
    </row>
    <row r="18" spans="2:17" x14ac:dyDescent="0.25">
      <c r="B18" s="372" t="s">
        <v>83</v>
      </c>
      <c r="C18" s="373"/>
      <c r="D18" s="373"/>
      <c r="E18" s="373"/>
      <c r="F18" s="131">
        <f>-F12/'Income Statement'!F7</f>
        <v>3.9668357379359816E-2</v>
      </c>
      <c r="G18" s="131">
        <f>-G12/'Income Statement'!G7</f>
        <v>1.6588297720479587E-3</v>
      </c>
      <c r="H18" s="131">
        <f>-H12/'Income Statement'!H7</f>
        <v>2.2070538171607628E-2</v>
      </c>
      <c r="I18" s="131">
        <f>-I12/'Income Statement'!I7</f>
        <v>5.1375890364819127E-3</v>
      </c>
      <c r="J18" s="131">
        <f>-J12/'Income Statement'!J7</f>
        <v>7.4828819163374662E-3</v>
      </c>
      <c r="K18" s="148">
        <f t="shared" ref="K18:O18" si="11">J18+$Q18</f>
        <v>7.4828819163374662E-3</v>
      </c>
      <c r="L18" s="141">
        <f t="shared" si="11"/>
        <v>7.4828819163374662E-3</v>
      </c>
      <c r="M18" s="141">
        <f t="shared" si="11"/>
        <v>7.4828819163374662E-3</v>
      </c>
      <c r="N18" s="141">
        <f t="shared" si="11"/>
        <v>7.4828819163374662E-3</v>
      </c>
      <c r="O18" s="142">
        <f t="shared" si="11"/>
        <v>7.4828819163374662E-3</v>
      </c>
      <c r="Q18" s="198">
        <v>0</v>
      </c>
    </row>
    <row r="19" spans="2:17" x14ac:dyDescent="0.25">
      <c r="B19" s="374"/>
      <c r="C19" s="374"/>
      <c r="D19" s="374"/>
      <c r="E19" s="374"/>
      <c r="F19" s="27"/>
      <c r="G19" s="27"/>
      <c r="H19" s="27"/>
      <c r="I19" s="27"/>
      <c r="J19" s="27"/>
      <c r="K19" s="27"/>
      <c r="L19" s="27"/>
      <c r="M19" s="27"/>
      <c r="N19" s="27"/>
    </row>
    <row r="20" spans="2:17" x14ac:dyDescent="0.25">
      <c r="B20"/>
      <c r="C20"/>
      <c r="D20"/>
      <c r="E20"/>
      <c r="F20"/>
      <c r="G20"/>
      <c r="H20"/>
      <c r="I20"/>
      <c r="J20"/>
      <c r="K20"/>
      <c r="L20"/>
      <c r="M20"/>
      <c r="N20"/>
      <c r="O20"/>
      <c r="P20"/>
      <c r="Q20"/>
    </row>
    <row r="21" spans="2:17" x14ac:dyDescent="0.25">
      <c r="B21"/>
      <c r="C21"/>
      <c r="D21"/>
      <c r="E21"/>
      <c r="F21"/>
      <c r="G21"/>
      <c r="H21"/>
      <c r="I21"/>
      <c r="J21"/>
      <c r="K21"/>
      <c r="L21"/>
      <c r="M21"/>
      <c r="N21"/>
      <c r="O21"/>
      <c r="P21"/>
      <c r="Q21"/>
    </row>
    <row r="22" spans="2:17" x14ac:dyDescent="0.25">
      <c r="B22"/>
      <c r="C22"/>
      <c r="D22"/>
      <c r="E22"/>
      <c r="F22"/>
      <c r="G22"/>
      <c r="H22"/>
      <c r="I22"/>
      <c r="J22"/>
      <c r="K22"/>
      <c r="L22"/>
      <c r="M22"/>
      <c r="N22"/>
      <c r="O22"/>
      <c r="P22"/>
      <c r="Q22"/>
    </row>
    <row r="23" spans="2:17" x14ac:dyDescent="0.25">
      <c r="B23"/>
      <c r="C23"/>
      <c r="D23"/>
      <c r="E23"/>
      <c r="F23"/>
      <c r="G23"/>
      <c r="H23"/>
      <c r="I23"/>
      <c r="J23"/>
      <c r="K23"/>
      <c r="L23"/>
      <c r="M23"/>
      <c r="N23"/>
      <c r="O23"/>
      <c r="P23"/>
      <c r="Q23"/>
    </row>
    <row r="24" spans="2:17" x14ac:dyDescent="0.25">
      <c r="B24"/>
      <c r="C24"/>
      <c r="D24"/>
      <c r="E24"/>
      <c r="F24"/>
      <c r="G24"/>
      <c r="H24"/>
      <c r="I24"/>
      <c r="J24"/>
      <c r="K24"/>
      <c r="L24"/>
      <c r="M24"/>
      <c r="N24"/>
      <c r="O24"/>
      <c r="P24"/>
      <c r="Q24"/>
    </row>
    <row r="25" spans="2:17" x14ac:dyDescent="0.25">
      <c r="B25"/>
      <c r="C25"/>
      <c r="D25"/>
      <c r="E25"/>
      <c r="F25"/>
      <c r="G25"/>
      <c r="H25"/>
      <c r="I25"/>
      <c r="J25"/>
      <c r="K25"/>
      <c r="L25"/>
      <c r="M25"/>
      <c r="N25"/>
      <c r="O25"/>
      <c r="P25"/>
      <c r="Q25"/>
    </row>
    <row r="26" spans="2:17" x14ac:dyDescent="0.25">
      <c r="B26"/>
      <c r="C26"/>
      <c r="D26"/>
      <c r="E26"/>
      <c r="F26"/>
      <c r="G26"/>
      <c r="H26"/>
      <c r="I26"/>
      <c r="J26"/>
      <c r="K26"/>
      <c r="L26"/>
      <c r="M26"/>
      <c r="N26"/>
      <c r="O26"/>
      <c r="P26"/>
      <c r="Q26"/>
    </row>
    <row r="27" spans="2:17" x14ac:dyDescent="0.25">
      <c r="B27" s="27"/>
      <c r="C27" s="27"/>
      <c r="D27" s="27"/>
      <c r="E27" s="27"/>
      <c r="F27" s="27"/>
      <c r="G27" s="27"/>
      <c r="H27" s="27"/>
      <c r="I27" s="27"/>
      <c r="J27" s="27"/>
      <c r="K27" s="27"/>
      <c r="L27" s="27"/>
      <c r="M27" s="27"/>
      <c r="N27" s="27"/>
    </row>
    <row r="28" spans="2:17" x14ac:dyDescent="0.25">
      <c r="B28" s="27"/>
      <c r="C28" s="27"/>
      <c r="D28" s="27"/>
      <c r="E28" s="27"/>
      <c r="F28" s="27"/>
      <c r="G28" s="27"/>
      <c r="H28" s="27"/>
      <c r="I28" s="27"/>
      <c r="J28" s="27"/>
      <c r="K28" s="27"/>
      <c r="L28" s="27"/>
      <c r="M28" s="27"/>
      <c r="N28" s="27"/>
    </row>
    <row r="29" spans="2:17" x14ac:dyDescent="0.25">
      <c r="B29" s="27"/>
      <c r="C29" s="27"/>
      <c r="D29" s="27"/>
      <c r="E29" s="27"/>
      <c r="F29" s="27"/>
      <c r="G29" s="27"/>
      <c r="H29" s="27"/>
      <c r="I29" s="27"/>
      <c r="J29" s="27"/>
      <c r="K29" s="27"/>
      <c r="L29" s="27"/>
      <c r="M29" s="27"/>
      <c r="N29" s="27"/>
    </row>
    <row r="30" spans="2:17" x14ac:dyDescent="0.25">
      <c r="B30" s="27"/>
      <c r="C30" s="27"/>
      <c r="D30" s="27"/>
      <c r="E30" s="27"/>
      <c r="F30" s="27"/>
      <c r="G30" s="27"/>
      <c r="H30" s="27"/>
      <c r="I30" s="27"/>
      <c r="J30" s="27"/>
      <c r="K30" s="27"/>
      <c r="L30" s="27"/>
      <c r="M30" s="27"/>
      <c r="N30" s="27"/>
    </row>
  </sheetData>
  <mergeCells count="11">
    <mergeCell ref="B18:E18"/>
    <mergeCell ref="B19:E19"/>
    <mergeCell ref="B17:E17"/>
    <mergeCell ref="B8:E8"/>
    <mergeCell ref="B9:E9"/>
    <mergeCell ref="B10:E10"/>
    <mergeCell ref="B11:E11"/>
    <mergeCell ref="B12:E12"/>
    <mergeCell ref="B14:E14"/>
    <mergeCell ref="B15:E15"/>
    <mergeCell ref="B16:E16"/>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123CE-2775-4E89-B9C6-4FDEB4368824}">
  <sheetPr>
    <tabColor theme="4" tint="-0.249977111117893"/>
  </sheetPr>
  <dimension ref="B1:Q35"/>
  <sheetViews>
    <sheetView showGridLines="0" zoomScaleNormal="100" workbookViewId="0">
      <selection activeCell="B10" sqref="B10"/>
    </sheetView>
  </sheetViews>
  <sheetFormatPr defaultColWidth="12.7109375" defaultRowHeight="15.75" x14ac:dyDescent="0.25"/>
  <cols>
    <col min="1" max="1" width="5.7109375" style="1" customWidth="1"/>
    <col min="2" max="15" width="12.7109375" style="1"/>
    <col min="16" max="16" width="2.7109375" style="1" customWidth="1"/>
    <col min="17" max="16384" width="12.7109375" style="1"/>
  </cols>
  <sheetData>
    <row r="1" spans="2:15" s="6" customFormat="1" x14ac:dyDescent="0.25"/>
    <row r="2" spans="2:15" s="6" customFormat="1" ht="18.75" x14ac:dyDescent="0.25">
      <c r="B2" s="8" t="s">
        <v>53</v>
      </c>
    </row>
    <row r="3" spans="2:15" s="6" customFormat="1" x14ac:dyDescent="0.25">
      <c r="B3" s="18"/>
    </row>
    <row r="4" spans="2:15" s="6" customFormat="1" ht="16.5" thickBot="1" x14ac:dyDescent="0.3">
      <c r="B4" s="10" t="s">
        <v>5</v>
      </c>
      <c r="C4" s="10"/>
      <c r="D4" s="10"/>
      <c r="E4" s="10"/>
      <c r="F4" s="11">
        <v>2018</v>
      </c>
      <c r="G4" s="11">
        <v>2019</v>
      </c>
      <c r="H4" s="11">
        <v>2020</v>
      </c>
      <c r="I4" s="11">
        <v>2021</v>
      </c>
      <c r="J4" s="96">
        <v>2022</v>
      </c>
      <c r="K4" s="12">
        <f>J4+1</f>
        <v>2023</v>
      </c>
      <c r="L4" s="12">
        <f t="shared" ref="L4:O4" si="0">K4+1</f>
        <v>2024</v>
      </c>
      <c r="M4" s="12">
        <f t="shared" si="0"/>
        <v>2025</v>
      </c>
      <c r="N4" s="12">
        <f t="shared" si="0"/>
        <v>2026</v>
      </c>
      <c r="O4" s="12">
        <f t="shared" si="0"/>
        <v>2027</v>
      </c>
    </row>
    <row r="5" spans="2:15" s="9" customFormat="1" x14ac:dyDescent="0.25">
      <c r="B5" s="9" t="s">
        <v>4</v>
      </c>
      <c r="J5" s="17"/>
    </row>
    <row r="6" spans="2:15" x14ac:dyDescent="0.25">
      <c r="J6" s="82"/>
    </row>
    <row r="7" spans="2:15" x14ac:dyDescent="0.25">
      <c r="B7" s="19" t="s">
        <v>13</v>
      </c>
      <c r="J7" s="82"/>
    </row>
    <row r="8" spans="2:15" x14ac:dyDescent="0.25">
      <c r="B8" s="22" t="s">
        <v>15</v>
      </c>
      <c r="F8" s="97">
        <f>'Balance Sheet'!F9</f>
        <v>2354.7370000000001</v>
      </c>
      <c r="G8" s="97">
        <f>'Balance Sheet'!G9</f>
        <v>2747.9110000000001</v>
      </c>
      <c r="H8" s="97">
        <f>'Balance Sheet'!H9</f>
        <v>2716.0830000000001</v>
      </c>
      <c r="I8" s="97">
        <f>'Balance Sheet'!I9</f>
        <v>3400.3180000000002</v>
      </c>
      <c r="J8" s="98">
        <f>'Balance Sheet'!J9</f>
        <v>3674.5250000000001</v>
      </c>
      <c r="K8" s="85">
        <f>K24*K33/K32</f>
        <v>4102.5836107951536</v>
      </c>
      <c r="L8" s="85">
        <f t="shared" ref="L8:O8" ca="1" si="1">L24*L33/L32</f>
        <v>4765.1525718479106</v>
      </c>
      <c r="M8" s="85">
        <f t="shared" ca="1" si="1"/>
        <v>5304.4677953202854</v>
      </c>
      <c r="N8" s="85">
        <f t="shared" ca="1" si="1"/>
        <v>5875.5170100135356</v>
      </c>
      <c r="O8" s="85">
        <f t="shared" ca="1" si="1"/>
        <v>6293.7736760124089</v>
      </c>
    </row>
    <row r="9" spans="2:15" x14ac:dyDescent="0.25">
      <c r="B9" s="22" t="s">
        <v>158</v>
      </c>
      <c r="F9" s="97">
        <f>'Balance Sheet'!F10</f>
        <v>576.89099999999996</v>
      </c>
      <c r="G9" s="97">
        <f>'Balance Sheet'!G10</f>
        <v>601.26800000000003</v>
      </c>
      <c r="H9" s="97">
        <f>'Balance Sheet'!H10</f>
        <v>453.83199999999999</v>
      </c>
      <c r="I9" s="97">
        <f>'Balance Sheet'!I10</f>
        <v>803.45299999999997</v>
      </c>
      <c r="J9" s="98">
        <f>'Balance Sheet'!J10</f>
        <v>1080.2059999999999</v>
      </c>
      <c r="K9" s="85">
        <f>K27*K24</f>
        <v>1184.2246414287533</v>
      </c>
      <c r="L9" s="85">
        <f t="shared" ref="L9:O9" ca="1" si="2">L27*L24</f>
        <v>1375.477414013307</v>
      </c>
      <c r="M9" s="85">
        <f t="shared" ca="1" si="2"/>
        <v>1531.1525781837834</v>
      </c>
      <c r="N9" s="85">
        <f t="shared" ca="1" si="2"/>
        <v>1695.9878663004872</v>
      </c>
      <c r="O9" s="85">
        <f t="shared" ca="1" si="2"/>
        <v>1816.7190682227074</v>
      </c>
    </row>
    <row r="10" spans="2:15" x14ac:dyDescent="0.25">
      <c r="B10" s="22" t="s">
        <v>159</v>
      </c>
      <c r="F10" s="97">
        <f>'Balance Sheet'!F11</f>
        <v>107.732</v>
      </c>
      <c r="G10" s="97">
        <f>'Balance Sheet'!G11</f>
        <v>55.719000000000001</v>
      </c>
      <c r="H10" s="97">
        <f>'Balance Sheet'!H11</f>
        <v>50.472000000000001</v>
      </c>
      <c r="I10" s="97">
        <f>'Balance Sheet'!I11</f>
        <v>84.659000000000006</v>
      </c>
      <c r="J10" s="98">
        <f>'Balance Sheet'!J11</f>
        <v>103.265</v>
      </c>
      <c r="K10" s="85">
        <f>K24*K34/K32</f>
        <v>124.02069662775621</v>
      </c>
      <c r="L10" s="85">
        <f t="shared" ref="L10:O10" ca="1" si="3">L24*L34/L32</f>
        <v>144.05009076306916</v>
      </c>
      <c r="M10" s="85">
        <f t="shared" ca="1" si="3"/>
        <v>160.35353660656148</v>
      </c>
      <c r="N10" s="85">
        <f t="shared" ca="1" si="3"/>
        <v>177.61629786476863</v>
      </c>
      <c r="O10" s="85">
        <f t="shared" ca="1" si="3"/>
        <v>190.26015549387108</v>
      </c>
    </row>
    <row r="11" spans="2:15" x14ac:dyDescent="0.25">
      <c r="B11" s="22" t="s">
        <v>16</v>
      </c>
      <c r="F11" s="97">
        <f>'Balance Sheet'!F12</f>
        <v>208.05699999999999</v>
      </c>
      <c r="G11" s="97">
        <f>'Balance Sheet'!G12</f>
        <v>261.29000000000002</v>
      </c>
      <c r="H11" s="97">
        <f>'Balance Sheet'!H12</f>
        <v>183.38200000000001</v>
      </c>
      <c r="I11" s="97">
        <f>'Balance Sheet'!I12</f>
        <v>215.05</v>
      </c>
      <c r="J11" s="98">
        <f>'Balance Sheet'!J12</f>
        <v>249.56899999999999</v>
      </c>
      <c r="K11" s="85">
        <f>K28*K24</f>
        <v>273.60129413901842</v>
      </c>
      <c r="L11" s="85">
        <f t="shared" ref="L11:O11" ca="1" si="4">L28*L24</f>
        <v>317.78801704294091</v>
      </c>
      <c r="M11" s="85">
        <f t="shared" ca="1" si="4"/>
        <v>353.75494839386988</v>
      </c>
      <c r="N11" s="85">
        <f t="shared" ca="1" si="4"/>
        <v>391.83821956621819</v>
      </c>
      <c r="O11" s="85">
        <f t="shared" ca="1" si="4"/>
        <v>419.73175592180831</v>
      </c>
    </row>
    <row r="12" spans="2:15" s="19" customFormat="1" x14ac:dyDescent="0.25">
      <c r="B12" s="20" t="s">
        <v>17</v>
      </c>
      <c r="C12" s="20"/>
      <c r="D12" s="20"/>
      <c r="E12" s="20"/>
      <c r="F12" s="86">
        <f t="shared" ref="F12:K12" si="5">SUM(F8:F11)</f>
        <v>3247.4169999999999</v>
      </c>
      <c r="G12" s="86">
        <f t="shared" si="5"/>
        <v>3666.1880000000001</v>
      </c>
      <c r="H12" s="86">
        <f t="shared" si="5"/>
        <v>3403.7690000000002</v>
      </c>
      <c r="I12" s="86">
        <f t="shared" si="5"/>
        <v>4503.4800000000005</v>
      </c>
      <c r="J12" s="87">
        <f t="shared" si="5"/>
        <v>5107.5650000000005</v>
      </c>
      <c r="K12" s="86">
        <f t="shared" si="5"/>
        <v>5684.430242990682</v>
      </c>
      <c r="L12" s="86">
        <f t="shared" ref="L12:O12" ca="1" si="6">SUM(L8:L11)</f>
        <v>6602.4680936672275</v>
      </c>
      <c r="M12" s="86">
        <f t="shared" ca="1" si="6"/>
        <v>7349.7288585045007</v>
      </c>
      <c r="N12" s="86">
        <f t="shared" ca="1" si="6"/>
        <v>8140.9593937450099</v>
      </c>
      <c r="O12" s="86">
        <f t="shared" ca="1" si="6"/>
        <v>8720.4846556507964</v>
      </c>
    </row>
    <row r="13" spans="2:15" x14ac:dyDescent="0.25">
      <c r="F13" s="85"/>
      <c r="G13" s="85"/>
      <c r="H13" s="85"/>
      <c r="I13" s="85"/>
      <c r="J13" s="88"/>
      <c r="K13" s="85"/>
      <c r="L13" s="85"/>
      <c r="M13" s="85"/>
      <c r="N13" s="85"/>
      <c r="O13" s="85"/>
    </row>
    <row r="14" spans="2:15" x14ac:dyDescent="0.25">
      <c r="B14" s="19" t="s">
        <v>84</v>
      </c>
      <c r="F14" s="85"/>
      <c r="G14" s="85"/>
      <c r="H14" s="85"/>
      <c r="I14" s="85"/>
      <c r="J14" s="88"/>
      <c r="K14" s="85"/>
      <c r="L14" s="85"/>
      <c r="M14" s="85"/>
      <c r="N14" s="85"/>
      <c r="O14" s="85"/>
    </row>
    <row r="15" spans="2:15" x14ac:dyDescent="0.25">
      <c r="B15" s="22" t="s">
        <v>21</v>
      </c>
      <c r="F15" s="97">
        <f>'Balance Sheet'!F21</f>
        <v>1314.52</v>
      </c>
      <c r="G15" s="97">
        <f>'Balance Sheet'!G21</f>
        <v>1489.559</v>
      </c>
      <c r="H15" s="97">
        <f>'Balance Sheet'!H21</f>
        <v>1509.7940000000001</v>
      </c>
      <c r="I15" s="97">
        <f>'Balance Sheet'!I21</f>
        <v>2254.6709999999998</v>
      </c>
      <c r="J15" s="98">
        <f>'Balance Sheet'!J21</f>
        <v>2153.1289999999999</v>
      </c>
      <c r="K15" s="85">
        <f ca="1">K26*K35/K32</f>
        <v>2362.4721002441793</v>
      </c>
      <c r="L15" s="85">
        <f t="shared" ref="L15:O15" ca="1" si="7">L26*L35/L32</f>
        <v>2738.2315232959331</v>
      </c>
      <c r="M15" s="85">
        <f t="shared" ca="1" si="7"/>
        <v>3021.2193725315433</v>
      </c>
      <c r="N15" s="85">
        <f t="shared" ca="1" si="7"/>
        <v>3325.0725673520069</v>
      </c>
      <c r="O15" s="85">
        <f t="shared" ca="1" si="7"/>
        <v>3531.6501113787244</v>
      </c>
    </row>
    <row r="16" spans="2:15" x14ac:dyDescent="0.25">
      <c r="B16" s="22" t="s">
        <v>163</v>
      </c>
      <c r="F16" s="97">
        <f>'Balance Sheet'!F22</f>
        <v>425.96100000000001</v>
      </c>
      <c r="G16" s="97">
        <f>'Balance Sheet'!G22</f>
        <v>606.14599999999996</v>
      </c>
      <c r="H16" s="97">
        <f>'Balance Sheet'!H22</f>
        <v>528.86400000000003</v>
      </c>
      <c r="I16" s="97">
        <f>'Balance Sheet'!I22</f>
        <v>802.87199999999996</v>
      </c>
      <c r="J16" s="98">
        <f>'Balance Sheet'!J22</f>
        <v>1141.518</v>
      </c>
      <c r="K16" s="85">
        <f>K29*K$24</f>
        <v>1251.4406920850909</v>
      </c>
      <c r="L16" s="85">
        <f t="shared" ref="L16:O16" ca="1" si="8">L29*L$24</f>
        <v>1453.5488848327468</v>
      </c>
      <c r="M16" s="85">
        <f t="shared" ca="1" si="8"/>
        <v>1618.060100335673</v>
      </c>
      <c r="N16" s="85">
        <f t="shared" ca="1" si="8"/>
        <v>1792.2513642431161</v>
      </c>
      <c r="O16" s="85">
        <f t="shared" ca="1" si="8"/>
        <v>1919.8352141345711</v>
      </c>
    </row>
    <row r="17" spans="2:15" x14ac:dyDescent="0.25">
      <c r="B17" s="22" t="s">
        <v>23</v>
      </c>
      <c r="F17" s="97">
        <f>'Balance Sheet'!F25</f>
        <v>0</v>
      </c>
      <c r="G17" s="97">
        <f>'Balance Sheet'!G25</f>
        <v>92.474999999999994</v>
      </c>
      <c r="H17" s="97">
        <f>'Balance Sheet'!H25</f>
        <v>85.134</v>
      </c>
      <c r="I17" s="97">
        <f>'Balance Sheet'!I25</f>
        <v>78.251000000000005</v>
      </c>
      <c r="J17" s="98">
        <f>'Balance Sheet'!J25</f>
        <v>74.052000000000007</v>
      </c>
      <c r="K17" s="85">
        <f>K30*K$24</f>
        <v>97.242760490919437</v>
      </c>
      <c r="L17" s="85">
        <f t="shared" ref="L17:O17" ca="1" si="9">L30*L$24</f>
        <v>112.94750679245377</v>
      </c>
      <c r="M17" s="85">
        <f t="shared" ca="1" si="9"/>
        <v>125.73079315064847</v>
      </c>
      <c r="N17" s="85">
        <f t="shared" ca="1" si="9"/>
        <v>139.26626427836075</v>
      </c>
      <c r="O17" s="85">
        <f t="shared" ca="1" si="9"/>
        <v>149.18012263055553</v>
      </c>
    </row>
    <row r="18" spans="2:15" s="19" customFormat="1" x14ac:dyDescent="0.25">
      <c r="B18" s="20" t="s">
        <v>24</v>
      </c>
      <c r="C18" s="20"/>
      <c r="D18" s="20"/>
      <c r="E18" s="20"/>
      <c r="F18" s="86">
        <f>SUM(F15:F17)</f>
        <v>1740.481</v>
      </c>
      <c r="G18" s="86">
        <f t="shared" ref="G18:J18" si="10">SUM(G15:G17)</f>
        <v>2188.1799999999998</v>
      </c>
      <c r="H18" s="86">
        <f t="shared" si="10"/>
        <v>2123.7919999999999</v>
      </c>
      <c r="I18" s="86">
        <f t="shared" si="10"/>
        <v>3135.7939999999999</v>
      </c>
      <c r="J18" s="87">
        <f t="shared" si="10"/>
        <v>3368.6990000000001</v>
      </c>
      <c r="K18" s="86">
        <f t="shared" ref="K18" ca="1" si="11">SUM(K15:K17)</f>
        <v>3711.1555528201893</v>
      </c>
      <c r="L18" s="86">
        <f t="shared" ref="L18" ca="1" si="12">SUM(L15:L17)</f>
        <v>4304.7279149211336</v>
      </c>
      <c r="M18" s="86">
        <f t="shared" ref="M18" ca="1" si="13">SUM(M15:M17)</f>
        <v>4765.0102660178645</v>
      </c>
      <c r="N18" s="86">
        <f t="shared" ref="N18" ca="1" si="14">SUM(N15:N17)</f>
        <v>5256.5901958734839</v>
      </c>
      <c r="O18" s="86">
        <f t="shared" ref="O18" ca="1" si="15">SUM(O15:O17)</f>
        <v>5600.6654481438509</v>
      </c>
    </row>
    <row r="19" spans="2:15" ht="16.5" thickBot="1" x14ac:dyDescent="0.3">
      <c r="F19" s="85"/>
      <c r="G19" s="85"/>
      <c r="H19" s="85"/>
      <c r="I19" s="85"/>
      <c r="J19" s="88"/>
      <c r="K19" s="85"/>
      <c r="L19" s="85"/>
      <c r="M19" s="85"/>
      <c r="N19" s="85"/>
      <c r="O19" s="85"/>
    </row>
    <row r="20" spans="2:15" x14ac:dyDescent="0.25">
      <c r="B20" s="29" t="s">
        <v>85</v>
      </c>
      <c r="C20" s="30"/>
      <c r="D20" s="30"/>
      <c r="E20" s="30"/>
      <c r="F20" s="99">
        <f>F12-F18</f>
        <v>1506.9359999999999</v>
      </c>
      <c r="G20" s="99">
        <f t="shared" ref="G20:O20" si="16">G12-G18</f>
        <v>1478.0080000000003</v>
      </c>
      <c r="H20" s="99">
        <f t="shared" si="16"/>
        <v>1279.9770000000003</v>
      </c>
      <c r="I20" s="99">
        <f t="shared" si="16"/>
        <v>1367.6860000000006</v>
      </c>
      <c r="J20" s="123">
        <f t="shared" si="16"/>
        <v>1738.8660000000004</v>
      </c>
      <c r="K20" s="99">
        <f t="shared" ca="1" si="16"/>
        <v>1973.2746901704927</v>
      </c>
      <c r="L20" s="99">
        <f t="shared" ca="1" si="16"/>
        <v>2297.740178746094</v>
      </c>
      <c r="M20" s="99">
        <f t="shared" ca="1" si="16"/>
        <v>2584.7185924866362</v>
      </c>
      <c r="N20" s="99">
        <f t="shared" ca="1" si="16"/>
        <v>2884.369197871526</v>
      </c>
      <c r="O20" s="100">
        <f t="shared" ca="1" si="16"/>
        <v>3119.8192075069455</v>
      </c>
    </row>
    <row r="21" spans="2:15" ht="16.5" thickBot="1" x14ac:dyDescent="0.3">
      <c r="B21" s="31" t="s">
        <v>86</v>
      </c>
      <c r="C21" s="32"/>
      <c r="D21" s="32"/>
      <c r="E21" s="32"/>
      <c r="F21" s="101"/>
      <c r="G21" s="101">
        <f>G20-F20</f>
        <v>-28.927999999999656</v>
      </c>
      <c r="H21" s="101">
        <f t="shared" ref="H21:O21" si="17">H20-G20</f>
        <v>-198.03099999999995</v>
      </c>
      <c r="I21" s="101">
        <f t="shared" si="17"/>
        <v>87.709000000000287</v>
      </c>
      <c r="J21" s="124">
        <f t="shared" si="17"/>
        <v>371.17999999999984</v>
      </c>
      <c r="K21" s="101">
        <f t="shared" ca="1" si="17"/>
        <v>234.40869017049226</v>
      </c>
      <c r="L21" s="101">
        <f t="shared" ca="1" si="17"/>
        <v>324.46548857560128</v>
      </c>
      <c r="M21" s="101">
        <f t="shared" ca="1" si="17"/>
        <v>286.97841374054224</v>
      </c>
      <c r="N21" s="101">
        <f t="shared" ca="1" si="17"/>
        <v>299.65060538488979</v>
      </c>
      <c r="O21" s="102">
        <f t="shared" ca="1" si="17"/>
        <v>235.45000963541952</v>
      </c>
    </row>
    <row r="22" spans="2:15" x14ac:dyDescent="0.25">
      <c r="J22" s="82"/>
    </row>
    <row r="23" spans="2:15" x14ac:dyDescent="0.25">
      <c r="B23" s="19" t="s">
        <v>87</v>
      </c>
      <c r="J23" s="82"/>
    </row>
    <row r="24" spans="2:15" x14ac:dyDescent="0.25">
      <c r="B24" s="22" t="s">
        <v>88</v>
      </c>
      <c r="F24" s="97">
        <f>'Income Statement'!F7</f>
        <v>11171.423000000001</v>
      </c>
      <c r="G24" s="97">
        <f>'Income Statement'!G7</f>
        <v>12112.153</v>
      </c>
      <c r="H24" s="97">
        <f>'Income Statement'!H7</f>
        <v>11202.672</v>
      </c>
      <c r="I24" s="97">
        <f>'Income Statement'!I7</f>
        <v>12980.213</v>
      </c>
      <c r="J24" s="98">
        <f>'Income Statement'!J7</f>
        <v>17073.902999999998</v>
      </c>
      <c r="K24" s="97">
        <f>'Income Statement'!K7</f>
        <v>18718.037724252888</v>
      </c>
      <c r="L24" s="97">
        <f ca="1">'Income Statement'!L7</f>
        <v>21741.008609056091</v>
      </c>
      <c r="M24" s="97">
        <f ca="1">'Income Statement'!M7</f>
        <v>24201.6343161488</v>
      </c>
      <c r="N24" s="97">
        <f ca="1">'Income Statement'!N7</f>
        <v>26807.046358186759</v>
      </c>
      <c r="O24" s="97">
        <f ca="1">'Income Statement'!O7</f>
        <v>28715.342396806616</v>
      </c>
    </row>
    <row r="25" spans="2:15" x14ac:dyDescent="0.25">
      <c r="B25" s="22" t="s">
        <v>168</v>
      </c>
      <c r="F25" s="97">
        <f>('Income Statement'!F8)*-1</f>
        <v>9488.94</v>
      </c>
      <c r="G25" s="97">
        <f>('Income Statement'!G8)*-1</f>
        <v>10293.794</v>
      </c>
      <c r="H25" s="97">
        <f>('Income Statement'!H8)*-1</f>
        <v>9316.5690000000013</v>
      </c>
      <c r="I25" s="97">
        <f>('Income Statement'!I8)*-1</f>
        <v>10771.424999999999</v>
      </c>
      <c r="J25" s="98">
        <f>('Income Statement'!J8)*-1</f>
        <v>14254.100999999999</v>
      </c>
      <c r="K25" s="97">
        <f ca="1">('Income Statement'!K8)*-1</f>
        <v>15535.971311129897</v>
      </c>
      <c r="L25" s="97">
        <f ca="1">('Income Statement'!L8)*-1</f>
        <v>17936.332102471275</v>
      </c>
      <c r="M25" s="97">
        <f ca="1">('Income Statement'!M8)*-1</f>
        <v>19845.340139242016</v>
      </c>
      <c r="N25" s="97">
        <f ca="1">('Income Statement'!N8)*-1</f>
        <v>21847.742781922207</v>
      </c>
      <c r="O25" s="97">
        <f ca="1">('Income Statement'!O8)*-1</f>
        <v>23259.427341413357</v>
      </c>
    </row>
    <row r="26" spans="2:15" x14ac:dyDescent="0.25">
      <c r="B26" s="22" t="s">
        <v>89</v>
      </c>
      <c r="F26" s="103"/>
      <c r="G26" s="103">
        <f>G9-F9+G25</f>
        <v>10318.171</v>
      </c>
      <c r="H26" s="103">
        <f t="shared" ref="H26:O26" si="18">H9-G9+H25</f>
        <v>9169.1330000000016</v>
      </c>
      <c r="I26" s="103">
        <f t="shared" si="18"/>
        <v>11121.045999999998</v>
      </c>
      <c r="J26" s="118">
        <f t="shared" si="18"/>
        <v>14530.853999999999</v>
      </c>
      <c r="K26" s="103">
        <f t="shared" ca="1" si="18"/>
        <v>15639.98995255865</v>
      </c>
      <c r="L26" s="103">
        <f t="shared" ca="1" si="18"/>
        <v>18127.584875055829</v>
      </c>
      <c r="M26" s="103">
        <f t="shared" ca="1" si="18"/>
        <v>20001.015303412492</v>
      </c>
      <c r="N26" s="103">
        <f t="shared" ca="1" si="18"/>
        <v>22012.578070038911</v>
      </c>
      <c r="O26" s="103">
        <f t="shared" ca="1" si="18"/>
        <v>23380.158543335576</v>
      </c>
    </row>
    <row r="27" spans="2:15" x14ac:dyDescent="0.25">
      <c r="B27" s="104" t="s">
        <v>173</v>
      </c>
      <c r="C27" s="21"/>
      <c r="D27" s="21"/>
      <c r="E27" s="21"/>
      <c r="F27" s="105">
        <f>F9/F24</f>
        <v>5.1639885088945243E-2</v>
      </c>
      <c r="G27" s="105">
        <f t="shared" ref="G27:J27" si="19">G9/G24</f>
        <v>4.9641711097936102E-2</v>
      </c>
      <c r="H27" s="105">
        <f t="shared" si="19"/>
        <v>4.051104950676053E-2</v>
      </c>
      <c r="I27" s="105">
        <f t="shared" si="19"/>
        <v>6.1898290883208154E-2</v>
      </c>
      <c r="J27" s="105">
        <f t="shared" si="19"/>
        <v>6.3266495071454959E-2</v>
      </c>
      <c r="K27" s="186">
        <f>J27</f>
        <v>6.3266495071454959E-2</v>
      </c>
      <c r="L27" s="105">
        <f t="shared" ref="L27:O27" si="20">K27</f>
        <v>6.3266495071454959E-2</v>
      </c>
      <c r="M27" s="105">
        <f t="shared" si="20"/>
        <v>6.3266495071454959E-2</v>
      </c>
      <c r="N27" s="105">
        <f t="shared" si="20"/>
        <v>6.3266495071454959E-2</v>
      </c>
      <c r="O27" s="106">
        <f t="shared" si="20"/>
        <v>6.3266495071454959E-2</v>
      </c>
    </row>
    <row r="28" spans="2:15" x14ac:dyDescent="0.25">
      <c r="B28" s="107" t="s">
        <v>90</v>
      </c>
      <c r="F28" s="108">
        <f>F11/F24</f>
        <v>1.862403742119513E-2</v>
      </c>
      <c r="G28" s="108">
        <f t="shared" ref="G28:J28" si="21">G11/G24</f>
        <v>2.1572547836870952E-2</v>
      </c>
      <c r="H28" s="108">
        <f t="shared" si="21"/>
        <v>1.6369487565109468E-2</v>
      </c>
      <c r="I28" s="108">
        <f t="shared" si="21"/>
        <v>1.6567524739386018E-2</v>
      </c>
      <c r="J28" s="108">
        <f t="shared" si="21"/>
        <v>1.4616985934616121E-2</v>
      </c>
      <c r="K28" s="187">
        <f t="shared" ref="K28:O28" si="22">J28</f>
        <v>1.4616985934616121E-2</v>
      </c>
      <c r="L28" s="108">
        <f t="shared" si="22"/>
        <v>1.4616985934616121E-2</v>
      </c>
      <c r="M28" s="108">
        <f t="shared" si="22"/>
        <v>1.4616985934616121E-2</v>
      </c>
      <c r="N28" s="108">
        <f t="shared" si="22"/>
        <v>1.4616985934616121E-2</v>
      </c>
      <c r="O28" s="109">
        <f t="shared" si="22"/>
        <v>1.4616985934616121E-2</v>
      </c>
    </row>
    <row r="29" spans="2:15" x14ac:dyDescent="0.25">
      <c r="B29" s="107" t="s">
        <v>174</v>
      </c>
      <c r="F29" s="108">
        <f>F16/F24</f>
        <v>3.8129520294773546E-2</v>
      </c>
      <c r="G29" s="108">
        <f t="shared" ref="G29:J29" si="23">G16/G24</f>
        <v>5.0044447093757813E-2</v>
      </c>
      <c r="H29" s="108">
        <f t="shared" si="23"/>
        <v>4.720873734409077E-2</v>
      </c>
      <c r="I29" s="108">
        <f t="shared" si="23"/>
        <v>6.1853530446688357E-2</v>
      </c>
      <c r="J29" s="108">
        <f t="shared" si="23"/>
        <v>6.6857472483005206E-2</v>
      </c>
      <c r="K29" s="187">
        <f t="shared" ref="K29:O29" si="24">J29</f>
        <v>6.6857472483005206E-2</v>
      </c>
      <c r="L29" s="108">
        <f t="shared" si="24"/>
        <v>6.6857472483005206E-2</v>
      </c>
      <c r="M29" s="108">
        <f t="shared" si="24"/>
        <v>6.6857472483005206E-2</v>
      </c>
      <c r="N29" s="108">
        <f t="shared" si="24"/>
        <v>6.6857472483005206E-2</v>
      </c>
      <c r="O29" s="109">
        <f t="shared" si="24"/>
        <v>6.6857472483005206E-2</v>
      </c>
    </row>
    <row r="30" spans="2:15" x14ac:dyDescent="0.25">
      <c r="B30" s="110" t="s">
        <v>91</v>
      </c>
      <c r="C30" s="24"/>
      <c r="D30" s="24"/>
      <c r="E30" s="24"/>
      <c r="F30" s="111">
        <f>F17/F25</f>
        <v>0</v>
      </c>
      <c r="G30" s="111">
        <f t="shared" ref="G30:J30" si="25">G17/G25</f>
        <v>8.9835681576685908E-3</v>
      </c>
      <c r="H30" s="111">
        <f t="shared" si="25"/>
        <v>9.1379133241003187E-3</v>
      </c>
      <c r="I30" s="111">
        <f t="shared" si="25"/>
        <v>7.2646841063276225E-3</v>
      </c>
      <c r="J30" s="111">
        <f t="shared" si="25"/>
        <v>5.195136473355985E-3</v>
      </c>
      <c r="K30" s="188">
        <f t="shared" ref="K30:O30" si="26">J30</f>
        <v>5.195136473355985E-3</v>
      </c>
      <c r="L30" s="111">
        <f t="shared" si="26"/>
        <v>5.195136473355985E-3</v>
      </c>
      <c r="M30" s="111">
        <f t="shared" si="26"/>
        <v>5.195136473355985E-3</v>
      </c>
      <c r="N30" s="111">
        <f t="shared" si="26"/>
        <v>5.195136473355985E-3</v>
      </c>
      <c r="O30" s="112">
        <f t="shared" si="26"/>
        <v>5.195136473355985E-3</v>
      </c>
    </row>
    <row r="31" spans="2:15" x14ac:dyDescent="0.25">
      <c r="J31" s="82"/>
    </row>
    <row r="32" spans="2:15" x14ac:dyDescent="0.25">
      <c r="B32" s="113" t="s">
        <v>92</v>
      </c>
      <c r="C32" s="21"/>
      <c r="D32" s="21"/>
      <c r="E32" s="21"/>
      <c r="F32" s="116">
        <v>365</v>
      </c>
      <c r="G32" s="116">
        <v>365</v>
      </c>
      <c r="H32" s="116">
        <v>365</v>
      </c>
      <c r="I32" s="116">
        <v>365</v>
      </c>
      <c r="J32" s="117">
        <v>365</v>
      </c>
      <c r="K32" s="121">
        <f>J32</f>
        <v>365</v>
      </c>
      <c r="L32" s="121">
        <f t="shared" ref="L32:O32" si="27">K32</f>
        <v>365</v>
      </c>
      <c r="M32" s="121">
        <f t="shared" si="27"/>
        <v>365</v>
      </c>
      <c r="N32" s="121">
        <f t="shared" si="27"/>
        <v>365</v>
      </c>
      <c r="O32" s="122">
        <f t="shared" si="27"/>
        <v>365</v>
      </c>
    </row>
    <row r="33" spans="2:17" x14ac:dyDescent="0.25">
      <c r="B33" s="114" t="s">
        <v>93</v>
      </c>
      <c r="F33" s="83"/>
      <c r="G33" s="103">
        <f>AVERAGE(F8:G8)/G24*G32</f>
        <v>76.884205475277597</v>
      </c>
      <c r="H33" s="103">
        <f t="shared" ref="H33:J33" si="28">AVERAGE(G8:H8)/H24*H32</f>
        <v>89.012594941635356</v>
      </c>
      <c r="I33" s="103">
        <f t="shared" si="28"/>
        <v>85.995752342430734</v>
      </c>
      <c r="J33" s="103">
        <f t="shared" si="28"/>
        <v>75.621774792793445</v>
      </c>
      <c r="K33" s="189">
        <v>80</v>
      </c>
      <c r="L33" s="103">
        <v>80</v>
      </c>
      <c r="M33" s="103">
        <v>80</v>
      </c>
      <c r="N33" s="103">
        <v>80</v>
      </c>
      <c r="O33" s="118">
        <v>80</v>
      </c>
      <c r="Q33"/>
    </row>
    <row r="34" spans="2:17" x14ac:dyDescent="0.25">
      <c r="B34" s="114" t="s">
        <v>94</v>
      </c>
      <c r="F34" s="83"/>
      <c r="G34" s="103">
        <f>AVERAGE(G10,F10)/G25*G32</f>
        <v>2.8978438367816568</v>
      </c>
      <c r="H34" s="103">
        <f t="shared" ref="H34:J34" si="29">AVERAGE(H10,G10)/H25*H32</f>
        <v>2.0801496237509749</v>
      </c>
      <c r="I34" s="103">
        <f t="shared" si="29"/>
        <v>2.2895213493107924</v>
      </c>
      <c r="J34" s="118">
        <f t="shared" si="29"/>
        <v>2.4060535280337922</v>
      </c>
      <c r="K34" s="103">
        <f t="shared" ref="K34:O34" si="30">AVERAGE($F34:$J34)</f>
        <v>2.4183920844693043</v>
      </c>
      <c r="L34" s="103">
        <f t="shared" si="30"/>
        <v>2.4183920844693043</v>
      </c>
      <c r="M34" s="103">
        <f t="shared" si="30"/>
        <v>2.4183920844693043</v>
      </c>
      <c r="N34" s="103">
        <f t="shared" si="30"/>
        <v>2.4183920844693043</v>
      </c>
      <c r="O34" s="118">
        <f t="shared" si="30"/>
        <v>2.4183920844693043</v>
      </c>
    </row>
    <row r="35" spans="2:17" x14ac:dyDescent="0.25">
      <c r="B35" s="115" t="s">
        <v>95</v>
      </c>
      <c r="C35" s="24"/>
      <c r="D35" s="24"/>
      <c r="E35" s="24"/>
      <c r="F35" s="119">
        <f>F15*F32/F25</f>
        <v>50.564109373649742</v>
      </c>
      <c r="G35" s="119">
        <f t="shared" ref="G35:J35" si="31">G15*G32/G25</f>
        <v>52.817166828867961</v>
      </c>
      <c r="H35" s="119">
        <f t="shared" si="31"/>
        <v>59.149973557862339</v>
      </c>
      <c r="I35" s="119">
        <f t="shared" si="31"/>
        <v>76.401675265807441</v>
      </c>
      <c r="J35" s="120">
        <f t="shared" si="31"/>
        <v>55.13445463870363</v>
      </c>
      <c r="K35" s="119">
        <f>J35</f>
        <v>55.13445463870363</v>
      </c>
      <c r="L35" s="119">
        <f t="shared" ref="L35:O35" si="32">K35</f>
        <v>55.13445463870363</v>
      </c>
      <c r="M35" s="119">
        <f t="shared" si="32"/>
        <v>55.13445463870363</v>
      </c>
      <c r="N35" s="119">
        <f t="shared" si="32"/>
        <v>55.13445463870363</v>
      </c>
      <c r="O35" s="120">
        <f t="shared" si="32"/>
        <v>55.13445463870363</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CCA0-9C88-466A-8A76-B70727E444A6}">
  <sheetPr>
    <tabColor theme="4" tint="-0.249977111117893"/>
  </sheetPr>
  <dimension ref="B1:Q33"/>
  <sheetViews>
    <sheetView showGridLines="0" zoomScaleNormal="100" workbookViewId="0">
      <selection activeCell="S16" sqref="S16"/>
    </sheetView>
  </sheetViews>
  <sheetFormatPr defaultColWidth="12.7109375" defaultRowHeight="15.75" x14ac:dyDescent="0.25"/>
  <cols>
    <col min="1" max="1" width="5.7109375" style="1" customWidth="1"/>
    <col min="2" max="15" width="12.7109375" style="1"/>
    <col min="16" max="16" width="2.7109375" style="1" customWidth="1"/>
    <col min="17" max="17" width="12.7109375" style="2"/>
    <col min="18" max="16384" width="12.7109375" style="1"/>
  </cols>
  <sheetData>
    <row r="1" spans="2:17" s="6" customFormat="1" x14ac:dyDescent="0.25">
      <c r="Q1" s="93"/>
    </row>
    <row r="2" spans="2:17" s="6" customFormat="1" ht="18.75" x14ac:dyDescent="0.25">
      <c r="B2" s="8" t="s">
        <v>18</v>
      </c>
      <c r="Q2" s="93"/>
    </row>
    <row r="3" spans="2:17" s="6" customFormat="1" x14ac:dyDescent="0.25">
      <c r="B3" s="18"/>
      <c r="Q3" s="93"/>
    </row>
    <row r="4" spans="2:17" s="6" customFormat="1" ht="16.5" thickBot="1" x14ac:dyDescent="0.3">
      <c r="B4" s="10" t="s">
        <v>5</v>
      </c>
      <c r="C4" s="10"/>
      <c r="D4" s="10"/>
      <c r="E4" s="10"/>
      <c r="F4" s="11">
        <v>2018</v>
      </c>
      <c r="G4" s="11">
        <v>2019</v>
      </c>
      <c r="H4" s="11">
        <v>2020</v>
      </c>
      <c r="I4" s="11">
        <v>2021</v>
      </c>
      <c r="J4" s="11">
        <v>2022</v>
      </c>
      <c r="K4" s="12">
        <f>J4+1</f>
        <v>2023</v>
      </c>
      <c r="L4" s="12">
        <f t="shared" ref="L4:O4" si="0">K4+1</f>
        <v>2024</v>
      </c>
      <c r="M4" s="12">
        <f t="shared" si="0"/>
        <v>2025</v>
      </c>
      <c r="N4" s="12">
        <f t="shared" si="0"/>
        <v>2026</v>
      </c>
      <c r="O4" s="12">
        <f t="shared" si="0"/>
        <v>2027</v>
      </c>
      <c r="Q4" s="199" t="s">
        <v>76</v>
      </c>
    </row>
    <row r="5" spans="2:17" s="9" customFormat="1" x14ac:dyDescent="0.25">
      <c r="B5" s="9" t="s">
        <v>4</v>
      </c>
      <c r="J5" s="17"/>
      <c r="Q5" s="164"/>
    </row>
    <row r="6" spans="2:17" s="9" customFormat="1" x14ac:dyDescent="0.25">
      <c r="J6" s="125"/>
      <c r="Q6" s="164"/>
    </row>
    <row r="7" spans="2:17" x14ac:dyDescent="0.25">
      <c r="B7" s="19" t="s">
        <v>98</v>
      </c>
      <c r="J7" s="82"/>
    </row>
    <row r="8" spans="2:17" x14ac:dyDescent="0.25">
      <c r="B8" s="149" t="s">
        <v>60</v>
      </c>
      <c r="F8" s="85">
        <v>1288.5999999999999</v>
      </c>
      <c r="G8" s="85">
        <f>F11</f>
        <v>1276.0319999999999</v>
      </c>
      <c r="H8" s="85">
        <f t="shared" ref="H8:J8" si="1">G11</f>
        <v>1386.654</v>
      </c>
      <c r="I8" s="85">
        <f t="shared" si="1"/>
        <v>1560.6559999999999</v>
      </c>
      <c r="J8" s="88">
        <f t="shared" si="1"/>
        <v>1919.6969999999999</v>
      </c>
      <c r="K8" s="85">
        <f>J11</f>
        <v>2030.4639999999999</v>
      </c>
      <c r="L8" s="85">
        <f t="shared" ref="L8:O8" si="2">K11</f>
        <v>2151.897329251216</v>
      </c>
      <c r="M8" s="85">
        <f t="shared" ca="1" si="2"/>
        <v>2292.9421917293103</v>
      </c>
      <c r="N8" s="85">
        <f t="shared" ca="1" si="2"/>
        <v>2449.9503713058757</v>
      </c>
      <c r="O8" s="85">
        <f t="shared" ca="1" si="2"/>
        <v>2623.8611697892266</v>
      </c>
    </row>
    <row r="9" spans="2:17" x14ac:dyDescent="0.25">
      <c r="B9" s="22" t="s">
        <v>96</v>
      </c>
      <c r="F9" s="97">
        <f>'Cash Flow Statement'!F15*-1</f>
        <v>293.59500000000003</v>
      </c>
      <c r="G9" s="97">
        <f>'Cash Flow Statement'!G15*-1</f>
        <v>261.762</v>
      </c>
      <c r="H9" s="97">
        <f>'Cash Flow Statement'!H15*-1</f>
        <v>260.05200000000002</v>
      </c>
      <c r="I9" s="97">
        <f>'Cash Flow Statement'!I15*-1</f>
        <v>385.85199999999998</v>
      </c>
      <c r="J9" s="97">
        <f>'Cash Flow Statement'!J15*-1</f>
        <v>427.63</v>
      </c>
      <c r="K9" s="127">
        <f>K13*'Income Statement'!K7</f>
        <v>468.80871186993761</v>
      </c>
      <c r="L9" s="97">
        <f ca="1">L13*'Income Statement'!L7</f>
        <v>544.52151400243145</v>
      </c>
      <c r="M9" s="97">
        <f ca="1">M13*'Income Statement'!M7</f>
        <v>606.14991678321655</v>
      </c>
      <c r="N9" s="97">
        <f ca="1">N13*'Income Statement'!N7</f>
        <v>671.40461288502138</v>
      </c>
      <c r="O9" s="97">
        <f ca="1">O13*'Income Statement'!O7</f>
        <v>719.19946301360699</v>
      </c>
    </row>
    <row r="10" spans="2:17" x14ac:dyDescent="0.25">
      <c r="B10" s="22" t="s">
        <v>97</v>
      </c>
      <c r="F10" s="85">
        <f>-(F8+F9-F11)</f>
        <v>-306.16300000000001</v>
      </c>
      <c r="G10" s="85">
        <f t="shared" ref="G10:J10" si="3">-(G8+G9-G11)</f>
        <v>-151.13999999999987</v>
      </c>
      <c r="H10" s="85">
        <f t="shared" si="3"/>
        <v>-86.050000000000182</v>
      </c>
      <c r="I10" s="85">
        <f t="shared" si="3"/>
        <v>-26.810999999999922</v>
      </c>
      <c r="J10" s="85">
        <f t="shared" si="3"/>
        <v>-316.86299999999983</v>
      </c>
      <c r="K10" s="128">
        <f>-K14*'Income Statement'!K7</f>
        <v>-347.37538261872169</v>
      </c>
      <c r="L10" s="129">
        <f ca="1">-L14*'Income Statement'!L7</f>
        <v>-403.47665152433729</v>
      </c>
      <c r="M10" s="129">
        <f ca="1">-M14*'Income Statement'!M7</f>
        <v>-449.14173720665121</v>
      </c>
      <c r="N10" s="129">
        <f ca="1">-N14*'Income Statement'!N7</f>
        <v>-497.49381440167065</v>
      </c>
      <c r="O10" s="129">
        <f ca="1">-O14*'Income Statement'!O7</f>
        <v>-532.90858791216817</v>
      </c>
    </row>
    <row r="11" spans="2:17" s="19" customFormat="1" x14ac:dyDescent="0.25">
      <c r="B11" s="33" t="s">
        <v>61</v>
      </c>
      <c r="C11" s="20"/>
      <c r="D11" s="20"/>
      <c r="E11" s="20"/>
      <c r="F11" s="86">
        <f>'Balance Sheet'!F15</f>
        <v>1276.0319999999999</v>
      </c>
      <c r="G11" s="86">
        <f>'Balance Sheet'!G15</f>
        <v>1386.654</v>
      </c>
      <c r="H11" s="86">
        <f>'Balance Sheet'!H15</f>
        <v>1560.6559999999999</v>
      </c>
      <c r="I11" s="86">
        <f>'Balance Sheet'!I15</f>
        <v>1919.6969999999999</v>
      </c>
      <c r="J11" s="87">
        <f>'Balance Sheet'!J15</f>
        <v>2030.4639999999999</v>
      </c>
      <c r="K11" s="126">
        <f>SUM(K8:K10)</f>
        <v>2151.897329251216</v>
      </c>
      <c r="L11" s="126">
        <f t="shared" ref="L11:O11" ca="1" si="4">SUM(L8:L10)</f>
        <v>2292.9421917293103</v>
      </c>
      <c r="M11" s="126">
        <f t="shared" ca="1" si="4"/>
        <v>2449.9503713058757</v>
      </c>
      <c r="N11" s="126">
        <f t="shared" ca="1" si="4"/>
        <v>2623.8611697892266</v>
      </c>
      <c r="O11" s="126">
        <f t="shared" ca="1" si="4"/>
        <v>2810.1520448906654</v>
      </c>
      <c r="Q11" s="26"/>
    </row>
    <row r="12" spans="2:17" x14ac:dyDescent="0.25">
      <c r="J12" s="82"/>
    </row>
    <row r="13" spans="2:17" x14ac:dyDescent="0.25">
      <c r="B13" s="156" t="s">
        <v>99</v>
      </c>
      <c r="C13" s="21"/>
      <c r="D13" s="21"/>
      <c r="E13" s="21"/>
      <c r="F13" s="143">
        <f>F9/'Income Statement'!F7</f>
        <v>2.6280895459781625E-2</v>
      </c>
      <c r="G13" s="143">
        <f>G9/'Income Statement'!G7</f>
        <v>2.1611516961517908E-2</v>
      </c>
      <c r="H13" s="143">
        <f>H9/'Income Statement'!H7</f>
        <v>2.3213390519690302E-2</v>
      </c>
      <c r="I13" s="143">
        <f>I9/'Income Statement'!I7</f>
        <v>2.9726168592148678E-2</v>
      </c>
      <c r="J13" s="145">
        <f>J9/'Income Statement'!J7</f>
        <v>2.5045825784532103E-2</v>
      </c>
      <c r="K13" s="143">
        <f>J13</f>
        <v>2.5045825784532103E-2</v>
      </c>
      <c r="L13" s="143">
        <f t="shared" ref="L13:O14" si="5">K13</f>
        <v>2.5045825784532103E-2</v>
      </c>
      <c r="M13" s="143">
        <f t="shared" si="5"/>
        <v>2.5045825784532103E-2</v>
      </c>
      <c r="N13" s="143">
        <f t="shared" si="5"/>
        <v>2.5045825784532103E-2</v>
      </c>
      <c r="O13" s="145">
        <f t="shared" si="5"/>
        <v>2.5045825784532103E-2</v>
      </c>
      <c r="Q13" s="165">
        <v>0</v>
      </c>
    </row>
    <row r="14" spans="2:17" x14ac:dyDescent="0.25">
      <c r="B14" s="158" t="s">
        <v>100</v>
      </c>
      <c r="C14" s="24"/>
      <c r="D14" s="24"/>
      <c r="E14" s="24"/>
      <c r="F14" s="131">
        <f>-F10/'Income Statement'!F7</f>
        <v>2.7405908808573447E-2</v>
      </c>
      <c r="G14" s="131">
        <f>-G10/'Income Statement'!G7</f>
        <v>1.2478376057501905E-2</v>
      </c>
      <c r="H14" s="131">
        <f>-H10/'Income Statement'!H7</f>
        <v>7.6812031986654775E-3</v>
      </c>
      <c r="I14" s="131">
        <f>-I10/'Income Statement'!I7</f>
        <v>2.0655285086616008E-3</v>
      </c>
      <c r="J14" s="132">
        <f>-J10/'Income Statement'!J7</f>
        <v>1.8558322604972036E-2</v>
      </c>
      <c r="K14" s="131">
        <f>J14</f>
        <v>1.8558322604972036E-2</v>
      </c>
      <c r="L14" s="131">
        <f t="shared" si="5"/>
        <v>1.8558322604972036E-2</v>
      </c>
      <c r="M14" s="131">
        <f t="shared" si="5"/>
        <v>1.8558322604972036E-2</v>
      </c>
      <c r="N14" s="131">
        <f t="shared" si="5"/>
        <v>1.8558322604972036E-2</v>
      </c>
      <c r="O14" s="132">
        <f t="shared" si="5"/>
        <v>1.8558322604972036E-2</v>
      </c>
      <c r="Q14" s="165">
        <v>0</v>
      </c>
    </row>
    <row r="15" spans="2:17" x14ac:dyDescent="0.25">
      <c r="J15" s="23"/>
    </row>
    <row r="16" spans="2:17" x14ac:dyDescent="0.25">
      <c r="J16" s="82"/>
    </row>
    <row r="17" spans="2:17" x14ac:dyDescent="0.25">
      <c r="B17" s="19" t="s">
        <v>185</v>
      </c>
      <c r="J17" s="82"/>
    </row>
    <row r="18" spans="2:17" x14ac:dyDescent="0.25">
      <c r="B18" s="1" t="s">
        <v>60</v>
      </c>
      <c r="F18" s="83">
        <v>2131.7999999999997</v>
      </c>
      <c r="G18" s="85">
        <f>F21</f>
        <v>2180.0589999999997</v>
      </c>
      <c r="H18" s="85">
        <f t="shared" ref="H18:O18" si="6">G21</f>
        <v>2436.4090000000001</v>
      </c>
      <c r="I18" s="85">
        <f t="shared" si="6"/>
        <v>2556.6689999999999</v>
      </c>
      <c r="J18" s="88">
        <f t="shared" si="6"/>
        <v>5330.0659999999998</v>
      </c>
      <c r="K18" s="85">
        <f t="shared" si="6"/>
        <v>5045.3760000000002</v>
      </c>
      <c r="L18" s="85">
        <f t="shared" si="6"/>
        <v>4657.317102900317</v>
      </c>
      <c r="M18" s="85">
        <f t="shared" ca="1" si="6"/>
        <v>4206.586532369759</v>
      </c>
      <c r="N18" s="85">
        <f t="shared" ca="1" si="6"/>
        <v>3704.8427246539636</v>
      </c>
      <c r="O18" s="85">
        <f t="shared" ca="1" si="6"/>
        <v>3149.0839962281057</v>
      </c>
    </row>
    <row r="19" spans="2:17" x14ac:dyDescent="0.25">
      <c r="B19" s="22" t="s">
        <v>187</v>
      </c>
      <c r="F19" s="85">
        <f>F21-(F18+F20)</f>
        <v>92.253000000000156</v>
      </c>
      <c r="G19" s="85">
        <f t="shared" ref="G19:J19" si="7">G21-(G18+G20)</f>
        <v>318.44100000000026</v>
      </c>
      <c r="H19" s="85">
        <f t="shared" si="7"/>
        <v>196.96399999999994</v>
      </c>
      <c r="I19" s="85">
        <f t="shared" si="7"/>
        <v>2938.7629999999999</v>
      </c>
      <c r="J19" s="88">
        <f t="shared" si="7"/>
        <v>69.283000000000357</v>
      </c>
      <c r="K19" s="85">
        <v>0</v>
      </c>
      <c r="L19" s="85">
        <v>0</v>
      </c>
      <c r="M19" s="85">
        <v>0</v>
      </c>
      <c r="N19" s="85">
        <v>0</v>
      </c>
      <c r="O19" s="85">
        <v>0</v>
      </c>
    </row>
    <row r="20" spans="2:17" x14ac:dyDescent="0.25">
      <c r="B20" s="22" t="s">
        <v>186</v>
      </c>
      <c r="F20" s="97">
        <f>'Income Statement'!F14</f>
        <v>-43.994</v>
      </c>
      <c r="G20" s="97">
        <f>'Income Statement'!G14</f>
        <v>-62.091000000000001</v>
      </c>
      <c r="H20" s="97">
        <f>'Income Statement'!H14</f>
        <v>-76.703999999999994</v>
      </c>
      <c r="I20" s="97">
        <f>'Income Statement'!I14</f>
        <v>-165.36600000000001</v>
      </c>
      <c r="J20" s="98">
        <f>'Income Statement'!J14</f>
        <v>-353.97300000000001</v>
      </c>
      <c r="K20" s="97">
        <f>-K23*'Income Statement'!K7</f>
        <v>-388.05889709968295</v>
      </c>
      <c r="L20" s="97">
        <f ca="1">-L23*'Income Statement'!L7</f>
        <v>-450.7305705305584</v>
      </c>
      <c r="M20" s="97">
        <f ca="1">-M23*'Income Statement'!M7</f>
        <v>-501.74380771579524</v>
      </c>
      <c r="N20" s="97">
        <f ca="1">-N23*'Income Statement'!N7</f>
        <v>-555.75872842585795</v>
      </c>
      <c r="O20" s="97">
        <f ca="1">-O23*'Income Statement'!O7</f>
        <v>-595.32116905108512</v>
      </c>
    </row>
    <row r="21" spans="2:17" x14ac:dyDescent="0.25">
      <c r="B21" s="20" t="s">
        <v>61</v>
      </c>
      <c r="C21" s="20"/>
      <c r="D21" s="20"/>
      <c r="E21" s="20"/>
      <c r="F21" s="86">
        <f>'Balance Sheet'!F16</f>
        <v>2180.0589999999997</v>
      </c>
      <c r="G21" s="86">
        <f>'Balance Sheet'!G16</f>
        <v>2436.4090000000001</v>
      </c>
      <c r="H21" s="86">
        <f>'Balance Sheet'!H16</f>
        <v>2556.6689999999999</v>
      </c>
      <c r="I21" s="86">
        <f>'Balance Sheet'!I16</f>
        <v>5330.0659999999998</v>
      </c>
      <c r="J21" s="87">
        <f>'Balance Sheet'!J16</f>
        <v>5045.3760000000002</v>
      </c>
      <c r="K21" s="86">
        <f>SUM(K18:K20)</f>
        <v>4657.317102900317</v>
      </c>
      <c r="L21" s="86">
        <f t="shared" ref="L21:O21" ca="1" si="8">SUM(L18:L20)</f>
        <v>4206.586532369759</v>
      </c>
      <c r="M21" s="86">
        <f t="shared" ca="1" si="8"/>
        <v>3704.8427246539636</v>
      </c>
      <c r="N21" s="86">
        <f t="shared" ca="1" si="8"/>
        <v>3149.0839962281057</v>
      </c>
      <c r="O21" s="86">
        <f t="shared" ca="1" si="8"/>
        <v>2553.7628271770204</v>
      </c>
    </row>
    <row r="22" spans="2:17" x14ac:dyDescent="0.25">
      <c r="J22" s="82"/>
    </row>
    <row r="23" spans="2:17" x14ac:dyDescent="0.25">
      <c r="B23" s="89" t="s">
        <v>188</v>
      </c>
      <c r="C23" s="159"/>
      <c r="D23" s="159"/>
      <c r="E23" s="159"/>
      <c r="F23" s="160">
        <f>-F20/'Income Statement'!F7</f>
        <v>3.9380838054382146E-3</v>
      </c>
      <c r="G23" s="160">
        <f>-G20/'Income Statement'!G7</f>
        <v>5.1263388102841829E-3</v>
      </c>
      <c r="H23" s="160">
        <f>-H20/'Income Statement'!H7</f>
        <v>6.8469379448045957E-3</v>
      </c>
      <c r="I23" s="160">
        <f>-I20/'Income Statement'!I7</f>
        <v>1.2739852574067932E-2</v>
      </c>
      <c r="J23" s="161">
        <f>-J20/'Income Statement'!J7</f>
        <v>2.0731815098164727E-2</v>
      </c>
      <c r="K23" s="162">
        <f>J23+$Q$23</f>
        <v>2.0731815098164727E-2</v>
      </c>
      <c r="L23" s="162">
        <f t="shared" ref="L23:O23" si="9">K23+$Q$23</f>
        <v>2.0731815098164727E-2</v>
      </c>
      <c r="M23" s="162">
        <f t="shared" si="9"/>
        <v>2.0731815098164727E-2</v>
      </c>
      <c r="N23" s="162">
        <f t="shared" si="9"/>
        <v>2.0731815098164727E-2</v>
      </c>
      <c r="O23" s="163">
        <f t="shared" si="9"/>
        <v>2.0731815098164727E-2</v>
      </c>
      <c r="Q23" s="165">
        <v>0</v>
      </c>
    </row>
    <row r="26" spans="2:17" x14ac:dyDescent="0.25">
      <c r="B26"/>
      <c r="C26"/>
    </row>
    <row r="27" spans="2:17" x14ac:dyDescent="0.25">
      <c r="B27"/>
      <c r="C27"/>
    </row>
    <row r="28" spans="2:17" x14ac:dyDescent="0.25">
      <c r="B28"/>
      <c r="C28"/>
    </row>
    <row r="29" spans="2:17" x14ac:dyDescent="0.25">
      <c r="B29"/>
      <c r="C29"/>
    </row>
    <row r="30" spans="2:17" x14ac:dyDescent="0.25">
      <c r="B30"/>
      <c r="C30"/>
    </row>
    <row r="31" spans="2:17" x14ac:dyDescent="0.25">
      <c r="B31"/>
      <c r="C31"/>
    </row>
    <row r="32" spans="2:17" x14ac:dyDescent="0.25">
      <c r="B32"/>
      <c r="C32"/>
    </row>
    <row r="33" spans="2:3" x14ac:dyDescent="0.25">
      <c r="B33"/>
      <c r="C3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33641-245F-4FE4-84C4-553342F51FF2}">
  <sheetPr>
    <tabColor theme="1"/>
  </sheetPr>
  <dimension ref="A1"/>
  <sheetViews>
    <sheetView showGridLines="0"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828BD-40A3-4A1A-8236-A205B145D9F1}">
  <sheetPr>
    <tabColor theme="8" tint="-0.249977111117893"/>
  </sheetPr>
  <dimension ref="A1:V36"/>
  <sheetViews>
    <sheetView showGridLines="0" zoomScaleNormal="100" workbookViewId="0">
      <selection activeCell="N17" sqref="N17"/>
    </sheetView>
  </sheetViews>
  <sheetFormatPr defaultColWidth="12.7109375" defaultRowHeight="15.75" x14ac:dyDescent="0.25"/>
  <cols>
    <col min="1" max="1" width="5.7109375" style="1" customWidth="1"/>
    <col min="2" max="15" width="22.7109375" style="1" customWidth="1"/>
    <col min="16" max="16" width="12.7109375" style="1"/>
    <col min="17" max="17" width="2.7109375" style="1" customWidth="1"/>
    <col min="18" max="18" width="12.7109375" style="2"/>
    <col min="19" max="16384" width="12.7109375" style="1"/>
  </cols>
  <sheetData>
    <row r="1" spans="2:22" s="6" customFormat="1" x14ac:dyDescent="0.25">
      <c r="R1" s="93"/>
    </row>
    <row r="2" spans="2:22" s="6" customFormat="1" ht="18.75" x14ac:dyDescent="0.25">
      <c r="B2" s="8" t="s">
        <v>233</v>
      </c>
      <c r="C2" s="8"/>
      <c r="R2" s="93"/>
    </row>
    <row r="3" spans="2:22" s="6" customFormat="1" x14ac:dyDescent="0.25">
      <c r="B3" s="153" t="s">
        <v>4</v>
      </c>
      <c r="C3" s="153"/>
      <c r="D3" s="1"/>
      <c r="E3" s="1"/>
      <c r="F3" s="1"/>
      <c r="G3" s="1"/>
      <c r="H3" s="1"/>
      <c r="I3" s="1"/>
      <c r="J3" s="1"/>
      <c r="K3" s="1"/>
      <c r="L3" s="1"/>
      <c r="M3" s="1"/>
      <c r="N3" s="1"/>
      <c r="O3" s="1"/>
      <c r="P3" s="1"/>
      <c r="Q3" s="1"/>
      <c r="R3" s="1"/>
      <c r="S3" s="1"/>
      <c r="T3" s="1"/>
      <c r="U3" s="1"/>
      <c r="V3" s="1"/>
    </row>
    <row r="4" spans="2:22" s="9" customFormat="1" x14ac:dyDescent="0.25">
      <c r="B4" s="1"/>
      <c r="C4" s="1"/>
      <c r="D4" s="1"/>
      <c r="E4" s="1"/>
      <c r="F4" s="1"/>
      <c r="G4" s="1"/>
      <c r="H4" s="1"/>
      <c r="I4" s="1"/>
      <c r="J4" s="1"/>
      <c r="K4" s="1"/>
      <c r="L4" s="1"/>
      <c r="M4" s="1"/>
      <c r="N4" s="1"/>
      <c r="O4" s="1"/>
      <c r="P4" s="1"/>
      <c r="Q4" s="1"/>
      <c r="R4" s="1"/>
      <c r="S4" s="1"/>
      <c r="T4" s="1"/>
      <c r="U4" s="1"/>
      <c r="V4" s="1"/>
    </row>
    <row r="5" spans="2:22" s="9" customFormat="1" x14ac:dyDescent="0.25">
      <c r="B5" s="206" t="s">
        <v>241</v>
      </c>
      <c r="C5" s="1"/>
      <c r="D5" s="1"/>
      <c r="E5" s="1"/>
      <c r="F5" s="1"/>
      <c r="G5" s="1"/>
      <c r="H5" s="1"/>
      <c r="I5" s="1"/>
      <c r="J5" s="1"/>
      <c r="K5" s="1"/>
      <c r="L5" s="1"/>
      <c r="M5" s="1"/>
      <c r="N5" s="1"/>
      <c r="O5" s="1"/>
      <c r="P5" s="1"/>
      <c r="Q5" s="1"/>
      <c r="R5" s="1"/>
      <c r="S5" s="1"/>
      <c r="T5" s="1"/>
      <c r="U5" s="1"/>
      <c r="V5" s="1"/>
    </row>
    <row r="6" spans="2:22" s="200" customFormat="1" ht="16.5" thickBot="1" x14ac:dyDescent="0.3">
      <c r="B6" s="207" t="s">
        <v>214</v>
      </c>
      <c r="C6" s="199" t="s">
        <v>110</v>
      </c>
      <c r="D6" s="199" t="s">
        <v>2</v>
      </c>
      <c r="E6" s="199" t="s">
        <v>228</v>
      </c>
      <c r="F6" s="199" t="s">
        <v>215</v>
      </c>
      <c r="G6" s="199" t="s">
        <v>229</v>
      </c>
      <c r="H6" s="199" t="s">
        <v>230</v>
      </c>
      <c r="I6" s="199" t="s">
        <v>216</v>
      </c>
      <c r="J6" s="199" t="s">
        <v>218</v>
      </c>
      <c r="K6" s="199" t="s">
        <v>235</v>
      </c>
      <c r="L6" s="199" t="s">
        <v>219</v>
      </c>
      <c r="M6" s="199" t="s">
        <v>220</v>
      </c>
      <c r="N6" s="199" t="s">
        <v>221</v>
      </c>
      <c r="O6" s="19"/>
      <c r="P6" s="19"/>
      <c r="Q6" s="19"/>
      <c r="R6" s="19"/>
      <c r="S6" s="19"/>
      <c r="T6" s="19"/>
    </row>
    <row r="7" spans="2:22" x14ac:dyDescent="0.25">
      <c r="B7" s="229" t="s">
        <v>222</v>
      </c>
      <c r="C7" s="202" t="s">
        <v>223</v>
      </c>
      <c r="D7" s="201">
        <v>204.49</v>
      </c>
      <c r="E7" s="202">
        <v>145.19999999999999</v>
      </c>
      <c r="F7" s="204">
        <f>E7*D7</f>
        <v>29691.948</v>
      </c>
      <c r="G7" s="208">
        <f>'Debt Schedule'!J35</f>
        <v>3729.9270000000001</v>
      </c>
      <c r="H7" s="208">
        <f>'Balance Sheet'!J8</f>
        <v>428.505</v>
      </c>
      <c r="I7" s="204">
        <f>F7+G7-H7</f>
        <v>32993.370000000003</v>
      </c>
      <c r="J7" s="208">
        <f>'Income Statement'!K7</f>
        <v>18718.037724252888</v>
      </c>
      <c r="K7" s="203">
        <v>7.13</v>
      </c>
      <c r="L7" s="209">
        <f ca="1">$I7/E18</f>
        <v>17.790523416865966</v>
      </c>
      <c r="M7" s="209">
        <f>$I7/J7</f>
        <v>1.7626511115131809</v>
      </c>
      <c r="N7" s="209">
        <f>D7/K7</f>
        <v>28.68022440392707</v>
      </c>
      <c r="R7" s="1"/>
    </row>
    <row r="8" spans="2:22" x14ac:dyDescent="0.25">
      <c r="B8" s="229" t="s">
        <v>224</v>
      </c>
      <c r="C8" s="202" t="s">
        <v>225</v>
      </c>
      <c r="D8" s="201">
        <v>96.14</v>
      </c>
      <c r="E8" s="202">
        <v>77.5</v>
      </c>
      <c r="F8" s="204">
        <f t="shared" ref="F8:F9" si="0">E8*D8</f>
        <v>7450.85</v>
      </c>
      <c r="G8" s="205">
        <v>3514.7</v>
      </c>
      <c r="H8" s="205">
        <v>370.8</v>
      </c>
      <c r="I8" s="204">
        <f t="shared" ref="I8:I9" si="1">F8+G8-H8</f>
        <v>10594.75</v>
      </c>
      <c r="J8" s="205">
        <v>12860.85</v>
      </c>
      <c r="K8" s="203">
        <v>3.93</v>
      </c>
      <c r="L8" s="209">
        <f>$I8/E19</f>
        <v>9.954010353542472</v>
      </c>
      <c r="M8" s="209">
        <f t="shared" ref="M8:M9" si="2">$I8/J8</f>
        <v>0.82379858251981786</v>
      </c>
      <c r="N8" s="209">
        <f>D8/K8</f>
        <v>24.463104325699746</v>
      </c>
      <c r="R8" s="1"/>
    </row>
    <row r="9" spans="2:22" x14ac:dyDescent="0.25">
      <c r="B9" s="229" t="s">
        <v>226</v>
      </c>
      <c r="C9" s="202" t="s">
        <v>227</v>
      </c>
      <c r="D9" s="201">
        <v>143.08000000000001</v>
      </c>
      <c r="E9" s="202">
        <v>16.7</v>
      </c>
      <c r="F9" s="204">
        <f t="shared" si="0"/>
        <v>2389.4360000000001</v>
      </c>
      <c r="G9" s="205">
        <v>74.5</v>
      </c>
      <c r="H9" s="205">
        <v>51</v>
      </c>
      <c r="I9" s="204">
        <f t="shared" si="1"/>
        <v>2412.9360000000001</v>
      </c>
      <c r="J9" s="205">
        <v>3474.08</v>
      </c>
      <c r="K9" s="203">
        <v>5.77</v>
      </c>
      <c r="L9" s="209">
        <f>$I9/E20</f>
        <v>12.545159613184985</v>
      </c>
      <c r="M9" s="209">
        <f t="shared" si="2"/>
        <v>0.69455395385253083</v>
      </c>
      <c r="N9" s="209">
        <f>D9/K9</f>
        <v>24.797227036395153</v>
      </c>
      <c r="R9" s="1"/>
    </row>
    <row r="10" spans="2:22" x14ac:dyDescent="0.25">
      <c r="R10" s="1"/>
    </row>
    <row r="11" spans="2:22" s="19" customFormat="1" x14ac:dyDescent="0.25">
      <c r="B11" s="210" t="s">
        <v>231</v>
      </c>
      <c r="C11" s="21"/>
      <c r="D11" s="211">
        <f>_xlfn.PERCENTILE.INC(D7:D9,0.25)</f>
        <v>119.61000000000001</v>
      </c>
      <c r="E11" s="212">
        <f t="shared" ref="E11:N11" si="3">_xlfn.PERCENTILE.INC(E7:E9,0.25)</f>
        <v>47.099999999999994</v>
      </c>
      <c r="F11" s="213">
        <f t="shared" si="3"/>
        <v>4920.143</v>
      </c>
      <c r="G11" s="214">
        <f t="shared" si="3"/>
        <v>1794.6</v>
      </c>
      <c r="H11" s="214">
        <f t="shared" si="3"/>
        <v>210.9</v>
      </c>
      <c r="I11" s="213">
        <f t="shared" si="3"/>
        <v>6503.8430000000008</v>
      </c>
      <c r="J11" s="214">
        <f t="shared" si="3"/>
        <v>8167.4650000000001</v>
      </c>
      <c r="K11" s="213">
        <f t="shared" si="3"/>
        <v>4.8499999999999996</v>
      </c>
      <c r="L11" s="215">
        <f t="shared" ca="1" si="3"/>
        <v>11.249584983363729</v>
      </c>
      <c r="M11" s="215">
        <f t="shared" si="3"/>
        <v>0.75917626818617434</v>
      </c>
      <c r="N11" s="216">
        <f t="shared" si="3"/>
        <v>24.630165681047451</v>
      </c>
      <c r="O11" s="1"/>
      <c r="P11" s="1"/>
      <c r="Q11" s="1"/>
      <c r="R11" s="1"/>
      <c r="S11" s="1"/>
      <c r="T11" s="1"/>
      <c r="U11" s="1"/>
    </row>
    <row r="12" spans="2:22" x14ac:dyDescent="0.25">
      <c r="B12" s="217" t="s">
        <v>119</v>
      </c>
      <c r="D12" s="218">
        <f>MEDIAN(D7:D9)</f>
        <v>143.08000000000001</v>
      </c>
      <c r="E12" s="93">
        <f t="shared" ref="E12:N12" si="4">MEDIAN(E7:E9)</f>
        <v>77.5</v>
      </c>
      <c r="F12" s="204">
        <f t="shared" si="4"/>
        <v>7450.85</v>
      </c>
      <c r="G12" s="219">
        <f t="shared" si="4"/>
        <v>3514.7</v>
      </c>
      <c r="H12" s="219">
        <f t="shared" si="4"/>
        <v>370.8</v>
      </c>
      <c r="I12" s="204">
        <f t="shared" si="4"/>
        <v>10594.75</v>
      </c>
      <c r="J12" s="219">
        <f t="shared" si="4"/>
        <v>12860.85</v>
      </c>
      <c r="K12" s="204">
        <f t="shared" si="4"/>
        <v>5.77</v>
      </c>
      <c r="L12" s="220">
        <f t="shared" ca="1" si="4"/>
        <v>12.545159613184985</v>
      </c>
      <c r="M12" s="220">
        <f t="shared" si="4"/>
        <v>0.82379858251981786</v>
      </c>
      <c r="N12" s="221">
        <f t="shared" si="4"/>
        <v>24.797227036395153</v>
      </c>
      <c r="R12" s="1"/>
    </row>
    <row r="13" spans="2:22" x14ac:dyDescent="0.25">
      <c r="B13" s="217" t="s">
        <v>121</v>
      </c>
      <c r="D13" s="218">
        <f>AVERAGE(D7:D9)</f>
        <v>147.90333333333334</v>
      </c>
      <c r="E13" s="93">
        <f t="shared" ref="E13:N13" si="5">AVERAGE(E7:E9)</f>
        <v>79.8</v>
      </c>
      <c r="F13" s="204">
        <f t="shared" si="5"/>
        <v>13177.411333333335</v>
      </c>
      <c r="G13" s="219">
        <f t="shared" si="5"/>
        <v>2439.7090000000003</v>
      </c>
      <c r="H13" s="219">
        <f t="shared" si="5"/>
        <v>283.435</v>
      </c>
      <c r="I13" s="204">
        <f t="shared" si="5"/>
        <v>15333.685333333335</v>
      </c>
      <c r="J13" s="219">
        <f t="shared" si="5"/>
        <v>11684.322574750964</v>
      </c>
      <c r="K13" s="204">
        <f t="shared" si="5"/>
        <v>5.6099999999999994</v>
      </c>
      <c r="L13" s="220">
        <f t="shared" ca="1" si="5"/>
        <v>13.429897794531142</v>
      </c>
      <c r="M13" s="220">
        <f t="shared" si="5"/>
        <v>1.0936678826285098</v>
      </c>
      <c r="N13" s="221">
        <f t="shared" si="5"/>
        <v>25.980185255340658</v>
      </c>
      <c r="R13" s="1"/>
    </row>
    <row r="14" spans="2:22" x14ac:dyDescent="0.25">
      <c r="B14" s="222" t="s">
        <v>232</v>
      </c>
      <c r="C14" s="24"/>
      <c r="D14" s="223">
        <f>_xlfn.PERCENTILE.INC(D7:D9,0.75)</f>
        <v>173.78500000000003</v>
      </c>
      <c r="E14" s="224">
        <f t="shared" ref="E14:N14" si="6">_xlfn.PERCENTILE.INC(E7:E9,0.75)</f>
        <v>111.35</v>
      </c>
      <c r="F14" s="225">
        <f t="shared" si="6"/>
        <v>18571.398999999998</v>
      </c>
      <c r="G14" s="226">
        <f t="shared" si="6"/>
        <v>3622.3135000000002</v>
      </c>
      <c r="H14" s="226">
        <f t="shared" si="6"/>
        <v>399.65250000000003</v>
      </c>
      <c r="I14" s="225">
        <f t="shared" si="6"/>
        <v>21794.06</v>
      </c>
      <c r="J14" s="226">
        <f t="shared" si="6"/>
        <v>15789.443862126445</v>
      </c>
      <c r="K14" s="225">
        <f t="shared" si="6"/>
        <v>6.4499999999999993</v>
      </c>
      <c r="L14" s="227">
        <f t="shared" ca="1" si="6"/>
        <v>15.167841515025476</v>
      </c>
      <c r="M14" s="227">
        <f t="shared" si="6"/>
        <v>1.2932248470164993</v>
      </c>
      <c r="N14" s="228">
        <f t="shared" si="6"/>
        <v>26.738725720161113</v>
      </c>
      <c r="R14" s="1"/>
    </row>
    <row r="15" spans="2:22" x14ac:dyDescent="0.25">
      <c r="R15" s="1"/>
    </row>
    <row r="16" spans="2:22" x14ac:dyDescent="0.25">
      <c r="B16" s="19" t="s">
        <v>242</v>
      </c>
      <c r="C16" s="19"/>
      <c r="D16" s="19"/>
      <c r="E16" s="19"/>
      <c r="F16" s="19"/>
      <c r="R16" s="1"/>
    </row>
    <row r="17" spans="1:18" s="26" customFormat="1" ht="16.5" thickBot="1" x14ac:dyDescent="0.3">
      <c r="A17" s="19"/>
      <c r="B17" s="207" t="s">
        <v>214</v>
      </c>
      <c r="C17" s="199" t="s">
        <v>243</v>
      </c>
      <c r="D17" s="199" t="s">
        <v>244</v>
      </c>
      <c r="E17" s="199" t="s">
        <v>234</v>
      </c>
      <c r="F17" s="199" t="s">
        <v>245</v>
      </c>
      <c r="G17" s="199" t="s">
        <v>236</v>
      </c>
      <c r="H17" s="199" t="s">
        <v>237</v>
      </c>
      <c r="I17" s="199" t="s">
        <v>238</v>
      </c>
      <c r="J17" s="199" t="s">
        <v>246</v>
      </c>
      <c r="K17" s="199" t="s">
        <v>247</v>
      </c>
      <c r="L17" s="199" t="s">
        <v>248</v>
      </c>
      <c r="M17" s="199" t="s">
        <v>239</v>
      </c>
      <c r="N17" s="199" t="s">
        <v>240</v>
      </c>
    </row>
    <row r="18" spans="1:18" x14ac:dyDescent="0.25">
      <c r="B18" s="229" t="s">
        <v>222</v>
      </c>
      <c r="C18" s="208">
        <f ca="1">'Income Statement'!K10</f>
        <v>2834.6910305042697</v>
      </c>
      <c r="D18" s="208">
        <f ca="1">'Income Statement'!K16</f>
        <v>1023.4464574413453</v>
      </c>
      <c r="E18" s="208">
        <f ca="1">'Income Statement'!K61</f>
        <v>1854.547459167012</v>
      </c>
      <c r="F18" s="208">
        <f ca="1">'Cash Flow Statement'!K13+'Cash Flow Statement'!K15</f>
        <v>834.25861089314765</v>
      </c>
      <c r="G18" s="231">
        <f ca="1">C18/$J7</f>
        <v>0.15144167739502798</v>
      </c>
      <c r="H18" s="231">
        <f t="shared" ref="H18:J18" ca="1" si="7">D18/$J7</f>
        <v>5.4677016497048175E-2</v>
      </c>
      <c r="I18" s="231">
        <f t="shared" ca="1" si="7"/>
        <v>9.907809175766763E-2</v>
      </c>
      <c r="J18" s="231">
        <f t="shared" ca="1" si="7"/>
        <v>4.4569768646859922E-2</v>
      </c>
      <c r="K18" s="209">
        <f ca="1">(G7-H7)/E18</f>
        <v>1.7801766051772359</v>
      </c>
      <c r="L18" s="209">
        <f ca="1">E18/'Income Statement'!K19*-1</f>
        <v>23.560520495015481</v>
      </c>
      <c r="M18" s="209">
        <f>G7/'Balance Sheet'!J37</f>
        <v>0.69087831986958625</v>
      </c>
      <c r="N18" s="209">
        <f>'Balance Sheet'!J13/'Balance Sheet'!J26</f>
        <v>1.6252949773265999</v>
      </c>
      <c r="R18" s="1"/>
    </row>
    <row r="19" spans="1:18" x14ac:dyDescent="0.25">
      <c r="B19" s="229" t="s">
        <v>224</v>
      </c>
      <c r="C19" s="205">
        <v>1643.61663</v>
      </c>
      <c r="D19" s="205">
        <v>341.01</v>
      </c>
      <c r="E19" s="205">
        <v>1064.3699999999999</v>
      </c>
      <c r="F19" s="205">
        <v>338.99</v>
      </c>
      <c r="G19" s="231">
        <f t="shared" ref="G19:G20" si="8">C19/$J8</f>
        <v>0.1278</v>
      </c>
      <c r="H19" s="231">
        <f t="shared" ref="H19:H20" si="9">D19/$J8</f>
        <v>2.6515354739383476E-2</v>
      </c>
      <c r="I19" s="231">
        <f t="shared" ref="I19:I20" si="10">E19/$J8</f>
        <v>8.2760470730939228E-2</v>
      </c>
      <c r="J19" s="231">
        <f t="shared" ref="J19:J20" si="11">F19/$J8</f>
        <v>2.6358288915584897E-2</v>
      </c>
      <c r="K19" s="209">
        <f t="shared" ref="K19:K20" si="12">(G8-H8)/E19</f>
        <v>2.9537660775858017</v>
      </c>
      <c r="L19" s="209">
        <f>E19/221.23</f>
        <v>4.811146770329521</v>
      </c>
      <c r="M19" s="209">
        <v>1.282</v>
      </c>
      <c r="N19" s="209">
        <v>1.5</v>
      </c>
      <c r="R19" s="1"/>
    </row>
    <row r="20" spans="1:18" x14ac:dyDescent="0.25">
      <c r="B20" s="229" t="s">
        <v>226</v>
      </c>
      <c r="C20" s="205">
        <v>376.242864</v>
      </c>
      <c r="D20" s="205">
        <v>134.65</v>
      </c>
      <c r="E20" s="205">
        <v>192.34</v>
      </c>
      <c r="F20" s="205">
        <v>13.13</v>
      </c>
      <c r="G20" s="231">
        <f t="shared" si="8"/>
        <v>0.10830000000000001</v>
      </c>
      <c r="H20" s="231">
        <f t="shared" si="9"/>
        <v>3.8758462672131906E-2</v>
      </c>
      <c r="I20" s="231">
        <f t="shared" si="10"/>
        <v>5.5364297886059045E-2</v>
      </c>
      <c r="J20" s="231">
        <f t="shared" si="11"/>
        <v>3.7794178602680423E-3</v>
      </c>
      <c r="K20" s="209">
        <f t="shared" si="12"/>
        <v>0.12217947384839346</v>
      </c>
      <c r="L20" s="209">
        <f>E20/4.07</f>
        <v>47.257985257985254</v>
      </c>
      <c r="M20" s="209">
        <v>0.13300000000000001</v>
      </c>
      <c r="N20" s="209">
        <v>1.3</v>
      </c>
      <c r="R20" s="1"/>
    </row>
    <row r="21" spans="1:18" x14ac:dyDescent="0.25">
      <c r="C21" s="2"/>
      <c r="D21" s="2"/>
      <c r="E21" s="2"/>
      <c r="F21" s="2"/>
      <c r="G21" s="2"/>
      <c r="H21" s="2"/>
      <c r="I21" s="2"/>
      <c r="J21" s="2"/>
      <c r="K21" s="2"/>
      <c r="L21" s="2"/>
      <c r="M21" s="2"/>
      <c r="N21" s="2"/>
      <c r="R21" s="1"/>
    </row>
    <row r="22" spans="1:18" x14ac:dyDescent="0.25">
      <c r="B22" s="210" t="s">
        <v>231</v>
      </c>
      <c r="C22" s="214">
        <f ca="1">_xlfn.PERCENTILE.INC(C18:C20,0.25)</f>
        <v>1009.9297469999999</v>
      </c>
      <c r="D22" s="214">
        <f ca="1">_xlfn.PERCENTILE.INC(D18:D20,0.25)</f>
        <v>237.82999999999998</v>
      </c>
      <c r="E22" s="214">
        <f t="shared" ref="E22:N22" ca="1" si="13">_xlfn.PERCENTILE.INC(E18:E20,0.25)</f>
        <v>628.3549999999999</v>
      </c>
      <c r="F22" s="214">
        <f t="shared" ca="1" si="13"/>
        <v>176.06</v>
      </c>
      <c r="G22" s="232">
        <f t="shared" ca="1" si="13"/>
        <v>0.11805</v>
      </c>
      <c r="H22" s="232">
        <f t="shared" ca="1" si="13"/>
        <v>3.2636908705757695E-2</v>
      </c>
      <c r="I22" s="232">
        <f t="shared" ca="1" si="13"/>
        <v>6.9062384308499133E-2</v>
      </c>
      <c r="J22" s="232">
        <f t="shared" ca="1" si="13"/>
        <v>1.5068853387926471E-2</v>
      </c>
      <c r="K22" s="215">
        <f t="shared" ca="1" si="13"/>
        <v>0.95117803951281465</v>
      </c>
      <c r="L22" s="215">
        <f t="shared" ca="1" si="13"/>
        <v>14.185833632672502</v>
      </c>
      <c r="M22" s="215">
        <f t="shared" si="13"/>
        <v>0.41193915993479313</v>
      </c>
      <c r="N22" s="216">
        <f t="shared" si="13"/>
        <v>1.4</v>
      </c>
      <c r="R22" s="1"/>
    </row>
    <row r="23" spans="1:18" x14ac:dyDescent="0.25">
      <c r="B23" s="217" t="s">
        <v>119</v>
      </c>
      <c r="C23" s="219">
        <f ca="1">MEDIAN(C18:C20)</f>
        <v>1643.61663</v>
      </c>
      <c r="D23" s="219">
        <f ca="1">MEDIAN(D18:D20)</f>
        <v>341.01</v>
      </c>
      <c r="E23" s="219">
        <f t="shared" ref="E23:N23" ca="1" si="14">MEDIAN(E18:E20)</f>
        <v>1064.3699999999999</v>
      </c>
      <c r="F23" s="219">
        <f t="shared" ca="1" si="14"/>
        <v>338.99</v>
      </c>
      <c r="G23" s="178">
        <f t="shared" ca="1" si="14"/>
        <v>0.1278</v>
      </c>
      <c r="H23" s="178">
        <f t="shared" ca="1" si="14"/>
        <v>3.8758462672131906E-2</v>
      </c>
      <c r="I23" s="178">
        <f t="shared" ca="1" si="14"/>
        <v>8.2760470730939228E-2</v>
      </c>
      <c r="J23" s="178">
        <f t="shared" ca="1" si="14"/>
        <v>2.6358288915584897E-2</v>
      </c>
      <c r="K23" s="220">
        <f t="shared" ca="1" si="14"/>
        <v>1.7801766051772359</v>
      </c>
      <c r="L23" s="220">
        <f t="shared" ca="1" si="14"/>
        <v>23.560520495015481</v>
      </c>
      <c r="M23" s="220">
        <f t="shared" si="14"/>
        <v>0.69087831986958625</v>
      </c>
      <c r="N23" s="221">
        <f t="shared" si="14"/>
        <v>1.5</v>
      </c>
      <c r="R23" s="1"/>
    </row>
    <row r="24" spans="1:18" x14ac:dyDescent="0.25">
      <c r="B24" s="217" t="s">
        <v>121</v>
      </c>
      <c r="C24" s="219">
        <f ca="1">AVERAGE(C18:C20)</f>
        <v>1618.1835081680899</v>
      </c>
      <c r="D24" s="219">
        <f ca="1">AVERAGE(D18:D20)</f>
        <v>499.70215248044843</v>
      </c>
      <c r="E24" s="219">
        <f t="shared" ref="E24:N24" ca="1" si="15">AVERAGE(E18:E20)</f>
        <v>1037.0858197223372</v>
      </c>
      <c r="F24" s="219">
        <f t="shared" ca="1" si="15"/>
        <v>395.45953696438255</v>
      </c>
      <c r="G24" s="178">
        <f t="shared" ca="1" si="15"/>
        <v>0.129180559131676</v>
      </c>
      <c r="H24" s="178">
        <f t="shared" ca="1" si="15"/>
        <v>3.9983611302854521E-2</v>
      </c>
      <c r="I24" s="178">
        <f t="shared" ca="1" si="15"/>
        <v>7.9067620124888632E-2</v>
      </c>
      <c r="J24" s="178">
        <f t="shared" ca="1" si="15"/>
        <v>2.4902491807570953E-2</v>
      </c>
      <c r="K24" s="220">
        <f t="shared" ca="1" si="15"/>
        <v>1.6187073855371439</v>
      </c>
      <c r="L24" s="220">
        <f t="shared" ca="1" si="15"/>
        <v>25.20988417444342</v>
      </c>
      <c r="M24" s="220">
        <f t="shared" si="15"/>
        <v>0.70195943995652887</v>
      </c>
      <c r="N24" s="221">
        <f t="shared" si="15"/>
        <v>1.4750983257755335</v>
      </c>
      <c r="R24" s="1"/>
    </row>
    <row r="25" spans="1:18" x14ac:dyDescent="0.25">
      <c r="B25" s="222" t="s">
        <v>232</v>
      </c>
      <c r="C25" s="226">
        <f ca="1">_xlfn.PERCENTILE.INC(C18:C20,0.75)</f>
        <v>2239.1538302521349</v>
      </c>
      <c r="D25" s="226">
        <f ca="1">_xlfn.PERCENTILE.INC(D18:D20,0.75)</f>
        <v>682.22822872067263</v>
      </c>
      <c r="E25" s="226">
        <f t="shared" ref="E25:N25" ca="1" si="16">_xlfn.PERCENTILE.INC(E18:E20,0.75)</f>
        <v>1459.4587295835058</v>
      </c>
      <c r="F25" s="226">
        <f t="shared" ca="1" si="16"/>
        <v>586.62430544657377</v>
      </c>
      <c r="G25" s="233">
        <f t="shared" ca="1" si="16"/>
        <v>0.13962083869751399</v>
      </c>
      <c r="H25" s="233">
        <f t="shared" ca="1" si="16"/>
        <v>4.6717739584590037E-2</v>
      </c>
      <c r="I25" s="233">
        <f t="shared" ca="1" si="16"/>
        <v>9.0919281244303429E-2</v>
      </c>
      <c r="J25" s="233">
        <f t="shared" ca="1" si="16"/>
        <v>3.5464028781222408E-2</v>
      </c>
      <c r="K25" s="227">
        <f t="shared" ca="1" si="16"/>
        <v>2.366971341381519</v>
      </c>
      <c r="L25" s="227">
        <f t="shared" ca="1" si="16"/>
        <v>35.409252876500368</v>
      </c>
      <c r="M25" s="227">
        <f t="shared" si="16"/>
        <v>0.98643915993479314</v>
      </c>
      <c r="N25" s="228">
        <f t="shared" si="16"/>
        <v>1.5626474886632999</v>
      </c>
      <c r="R25" s="1"/>
    </row>
    <row r="26" spans="1:18" x14ac:dyDescent="0.25">
      <c r="R26" s="1"/>
    </row>
    <row r="27" spans="1:18" ht="16.5" thickBot="1" x14ac:dyDescent="0.3">
      <c r="B27" s="236" t="s">
        <v>249</v>
      </c>
      <c r="C27" s="237"/>
      <c r="E27" s="236" t="s">
        <v>252</v>
      </c>
      <c r="F27" s="237"/>
      <c r="H27" s="236" t="s">
        <v>253</v>
      </c>
      <c r="I27" s="237"/>
      <c r="K27" s="236" t="s">
        <v>254</v>
      </c>
      <c r="L27" s="237"/>
      <c r="R27" s="1"/>
    </row>
    <row r="28" spans="1:18" x14ac:dyDescent="0.25">
      <c r="B28" s="1" t="s">
        <v>217</v>
      </c>
      <c r="C28" s="85">
        <f ca="1">$E$18</f>
        <v>1854.547459167012</v>
      </c>
      <c r="E28" s="1" t="s">
        <v>217</v>
      </c>
      <c r="F28" s="85">
        <f ca="1">$E$18</f>
        <v>1854.547459167012</v>
      </c>
      <c r="H28" s="1" t="s">
        <v>217</v>
      </c>
      <c r="I28" s="85">
        <f ca="1">$E$18</f>
        <v>1854.547459167012</v>
      </c>
      <c r="K28" s="1" t="s">
        <v>217</v>
      </c>
      <c r="L28" s="85">
        <f ca="1">$E$18</f>
        <v>1854.547459167012</v>
      </c>
      <c r="R28" s="1"/>
    </row>
    <row r="29" spans="1:18" x14ac:dyDescent="0.25">
      <c r="B29" s="1" t="s">
        <v>250</v>
      </c>
      <c r="C29" s="230">
        <f ca="1">L11</f>
        <v>11.249584983363729</v>
      </c>
      <c r="E29" s="1" t="s">
        <v>250</v>
      </c>
      <c r="F29" s="230">
        <f ca="1">L12</f>
        <v>12.545159613184985</v>
      </c>
      <c r="H29" s="1" t="s">
        <v>250</v>
      </c>
      <c r="I29" s="230">
        <f ca="1">L13</f>
        <v>13.429897794531142</v>
      </c>
      <c r="K29" s="1" t="s">
        <v>250</v>
      </c>
      <c r="L29" s="230">
        <f ca="1">L14</f>
        <v>15.167841515025476</v>
      </c>
      <c r="R29" s="1"/>
    </row>
    <row r="30" spans="1:18" x14ac:dyDescent="0.25">
      <c r="B30" s="20" t="s">
        <v>216</v>
      </c>
      <c r="C30" s="86">
        <f ca="1">C29*C28</f>
        <v>20862.889247580577</v>
      </c>
      <c r="E30" s="20" t="s">
        <v>216</v>
      </c>
      <c r="F30" s="86">
        <f ca="1">F29*F28</f>
        <v>23265.593885476828</v>
      </c>
      <c r="H30" s="20" t="s">
        <v>216</v>
      </c>
      <c r="I30" s="86">
        <f ca="1">I29*I28</f>
        <v>24906.382831720388</v>
      </c>
      <c r="K30" s="20" t="s">
        <v>216</v>
      </c>
      <c r="L30" s="86">
        <f ca="1">L29*L28</f>
        <v>28129.481942738417</v>
      </c>
      <c r="R30" s="1"/>
    </row>
    <row r="31" spans="1:18" x14ac:dyDescent="0.25">
      <c r="B31" s="1" t="s">
        <v>147</v>
      </c>
      <c r="C31" s="85">
        <f>$G$7*-1</f>
        <v>-3729.9270000000001</v>
      </c>
      <c r="E31" s="1" t="s">
        <v>147</v>
      </c>
      <c r="F31" s="85">
        <f>$G$7*-1</f>
        <v>-3729.9270000000001</v>
      </c>
      <c r="H31" s="1" t="s">
        <v>147</v>
      </c>
      <c r="I31" s="85">
        <f>$G$7*-1</f>
        <v>-3729.9270000000001</v>
      </c>
      <c r="K31" s="1" t="s">
        <v>147</v>
      </c>
      <c r="L31" s="85">
        <f>$G$7*-1</f>
        <v>-3729.9270000000001</v>
      </c>
      <c r="P31" s="2"/>
      <c r="R31" s="1"/>
    </row>
    <row r="32" spans="1:18" x14ac:dyDescent="0.25">
      <c r="B32" s="1" t="s">
        <v>148</v>
      </c>
      <c r="C32" s="85">
        <f>$H$7</f>
        <v>428.505</v>
      </c>
      <c r="E32" s="1" t="s">
        <v>148</v>
      </c>
      <c r="F32" s="85">
        <f>$H$7</f>
        <v>428.505</v>
      </c>
      <c r="H32" s="1" t="s">
        <v>148</v>
      </c>
      <c r="I32" s="85">
        <f>$H$7</f>
        <v>428.505</v>
      </c>
      <c r="K32" s="1" t="s">
        <v>148</v>
      </c>
      <c r="L32" s="85">
        <f>$H$7</f>
        <v>428.505</v>
      </c>
      <c r="P32" s="2"/>
      <c r="R32" s="1"/>
    </row>
    <row r="33" spans="2:18" x14ac:dyDescent="0.25">
      <c r="B33" s="20" t="s">
        <v>251</v>
      </c>
      <c r="C33" s="86">
        <f ca="1">SUM(C30:C32)</f>
        <v>17561.467247580578</v>
      </c>
      <c r="E33" s="20" t="s">
        <v>251</v>
      </c>
      <c r="F33" s="86">
        <f ca="1">SUM(F30:F32)</f>
        <v>19964.17188547683</v>
      </c>
      <c r="H33" s="20" t="s">
        <v>251</v>
      </c>
      <c r="I33" s="86">
        <f ca="1">SUM(I30:I32)</f>
        <v>21604.960831720389</v>
      </c>
      <c r="K33" s="20" t="s">
        <v>251</v>
      </c>
      <c r="L33" s="86">
        <f ca="1">SUM(L30:L32)</f>
        <v>24828.059942738419</v>
      </c>
      <c r="P33" s="2"/>
      <c r="R33" s="1"/>
    </row>
    <row r="34" spans="2:18" x14ac:dyDescent="0.25">
      <c r="B34" s="1" t="s">
        <v>150</v>
      </c>
      <c r="C34" s="85">
        <f>$E$7</f>
        <v>145.19999999999999</v>
      </c>
      <c r="E34" s="1" t="s">
        <v>150</v>
      </c>
      <c r="F34" s="85">
        <f>$E$7</f>
        <v>145.19999999999999</v>
      </c>
      <c r="H34" s="1" t="s">
        <v>150</v>
      </c>
      <c r="I34" s="85">
        <f>$E$7</f>
        <v>145.19999999999999</v>
      </c>
      <c r="K34" s="1" t="s">
        <v>150</v>
      </c>
      <c r="L34" s="85">
        <f>$E$7</f>
        <v>145.19999999999999</v>
      </c>
      <c r="P34" s="2"/>
      <c r="R34" s="1"/>
    </row>
    <row r="35" spans="2:18" x14ac:dyDescent="0.25">
      <c r="B35" s="20" t="s">
        <v>2</v>
      </c>
      <c r="C35" s="234">
        <f ca="1">C33/C34</f>
        <v>120.94674412934283</v>
      </c>
      <c r="E35" s="20" t="s">
        <v>2</v>
      </c>
      <c r="F35" s="234">
        <f ca="1">F33/F34</f>
        <v>137.4942967319341</v>
      </c>
      <c r="H35" s="20" t="s">
        <v>2</v>
      </c>
      <c r="I35" s="234">
        <f ca="1">I33/I34</f>
        <v>148.79449608622858</v>
      </c>
      <c r="K35" s="20" t="s">
        <v>2</v>
      </c>
      <c r="L35" s="234">
        <f ca="1">L33/L34</f>
        <v>170.9921483659671</v>
      </c>
      <c r="P35" s="2"/>
      <c r="R35" s="1"/>
    </row>
    <row r="36" spans="2:18" x14ac:dyDescent="0.25">
      <c r="B36" s="153" t="s">
        <v>152</v>
      </c>
      <c r="C36" s="235">
        <f ca="1">C35/$D$7-1</f>
        <v>-0.4085444563091456</v>
      </c>
      <c r="E36" s="153" t="s">
        <v>152</v>
      </c>
      <c r="F36" s="235">
        <f ca="1">F35/$D$7-1</f>
        <v>-0.32762337164685762</v>
      </c>
      <c r="H36" s="153" t="s">
        <v>152</v>
      </c>
      <c r="I36" s="235">
        <f ca="1">I35/$D$7-1</f>
        <v>-0.27236297087276362</v>
      </c>
      <c r="K36" s="153" t="s">
        <v>152</v>
      </c>
      <c r="L36" s="235">
        <f ca="1">L35/$D$7-1</f>
        <v>-0.16381168582342853</v>
      </c>
      <c r="P36" s="2"/>
      <c r="R36" s="1"/>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CA21A-C539-426F-A658-76E25D7E14FD}">
  <sheetPr>
    <tabColor theme="8" tint="-0.249977111117893"/>
  </sheetPr>
  <dimension ref="B2:J80"/>
  <sheetViews>
    <sheetView showGridLines="0" workbookViewId="0">
      <selection activeCell="N17" sqref="N17"/>
    </sheetView>
  </sheetViews>
  <sheetFormatPr defaultColWidth="12.7109375" defaultRowHeight="15.75" x14ac:dyDescent="0.25"/>
  <cols>
    <col min="1" max="1" width="5.7109375" style="1" customWidth="1"/>
    <col min="2" max="6" width="20.7109375" style="1" customWidth="1"/>
    <col min="7" max="7" width="12.7109375" style="1"/>
    <col min="8" max="8" width="12.7109375" style="2"/>
    <col min="9" max="16384" width="12.7109375" style="1"/>
  </cols>
  <sheetData>
    <row r="2" spans="2:10" ht="15.75" customHeight="1" x14ac:dyDescent="0.25">
      <c r="B2" s="333" t="s">
        <v>101</v>
      </c>
      <c r="C2" s="333"/>
      <c r="D2" s="333"/>
      <c r="E2" s="333"/>
    </row>
    <row r="3" spans="2:10" x14ac:dyDescent="0.25">
      <c r="B3" s="243" t="s">
        <v>257</v>
      </c>
      <c r="C3" s="244"/>
      <c r="H3" s="1"/>
    </row>
    <row r="4" spans="2:10" x14ac:dyDescent="0.25">
      <c r="B4" s="1" t="s">
        <v>258</v>
      </c>
      <c r="C4" s="1">
        <v>0.64911741073208673</v>
      </c>
      <c r="H4" s="1"/>
    </row>
    <row r="5" spans="2:10" x14ac:dyDescent="0.25">
      <c r="B5" s="1" t="s">
        <v>259</v>
      </c>
      <c r="C5" s="1">
        <v>0.42135341291552852</v>
      </c>
      <c r="H5" s="1"/>
    </row>
    <row r="6" spans="2:10" x14ac:dyDescent="0.25">
      <c r="B6" s="1" t="s">
        <v>260</v>
      </c>
      <c r="C6" s="1">
        <v>0.41120171840527464</v>
      </c>
      <c r="H6" s="1"/>
    </row>
    <row r="7" spans="2:10" ht="15.75" customHeight="1" x14ac:dyDescent="0.25">
      <c r="B7" s="1" t="s">
        <v>261</v>
      </c>
      <c r="C7" s="1">
        <v>7.0028978784548154E-2</v>
      </c>
      <c r="H7" s="1"/>
    </row>
    <row r="8" spans="2:10" ht="16.5" thickBot="1" x14ac:dyDescent="0.3">
      <c r="B8" s="32" t="s">
        <v>262</v>
      </c>
      <c r="C8" s="32">
        <v>59</v>
      </c>
      <c r="H8" s="1"/>
    </row>
    <row r="9" spans="2:10" x14ac:dyDescent="0.25">
      <c r="H9" s="1"/>
    </row>
    <row r="10" spans="2:10" ht="16.5" thickBot="1" x14ac:dyDescent="0.3">
      <c r="B10" s="1" t="s">
        <v>263</v>
      </c>
      <c r="H10" s="1"/>
    </row>
    <row r="11" spans="2:10" x14ac:dyDescent="0.25">
      <c r="B11" s="245"/>
      <c r="C11" s="245" t="s">
        <v>267</v>
      </c>
      <c r="D11" s="245" t="s">
        <v>268</v>
      </c>
      <c r="E11" s="245" t="s">
        <v>269</v>
      </c>
      <c r="F11" s="245" t="s">
        <v>270</v>
      </c>
      <c r="G11" s="245" t="s">
        <v>271</v>
      </c>
      <c r="H11" s="1"/>
    </row>
    <row r="12" spans="2:10" ht="15.75" customHeight="1" x14ac:dyDescent="0.25">
      <c r="B12" s="1" t="s">
        <v>264</v>
      </c>
      <c r="C12" s="1">
        <v>1</v>
      </c>
      <c r="D12" s="1">
        <v>0.20354646393337533</v>
      </c>
      <c r="E12" s="1">
        <v>0.20354646393337533</v>
      </c>
      <c r="F12" s="1">
        <v>41.505722270300147</v>
      </c>
      <c r="G12" s="1">
        <v>2.6850976390762029E-8</v>
      </c>
      <c r="H12" s="1"/>
    </row>
    <row r="13" spans="2:10" x14ac:dyDescent="0.25">
      <c r="B13" s="1" t="s">
        <v>265</v>
      </c>
      <c r="C13" s="1">
        <v>57</v>
      </c>
      <c r="D13" s="1">
        <v>0.27953129856758163</v>
      </c>
      <c r="E13" s="1">
        <v>4.9040578696066955E-3</v>
      </c>
      <c r="H13" s="1"/>
    </row>
    <row r="14" spans="2:10" ht="16.5" thickBot="1" x14ac:dyDescent="0.3">
      <c r="B14" s="32" t="s">
        <v>102</v>
      </c>
      <c r="C14" s="32">
        <v>58</v>
      </c>
      <c r="D14" s="32">
        <v>0.48307776250095696</v>
      </c>
      <c r="E14" s="32"/>
      <c r="F14" s="32"/>
      <c r="G14" s="32"/>
      <c r="H14" s="1"/>
    </row>
    <row r="15" spans="2:10" ht="15.75" customHeight="1" thickBot="1" x14ac:dyDescent="0.3">
      <c r="H15" s="1"/>
    </row>
    <row r="16" spans="2:10" ht="15.75" customHeight="1" x14ac:dyDescent="0.25">
      <c r="B16" s="245"/>
      <c r="C16" s="245" t="s">
        <v>272</v>
      </c>
      <c r="D16" s="245" t="s">
        <v>261</v>
      </c>
      <c r="E16" s="245" t="s">
        <v>273</v>
      </c>
      <c r="F16" s="245" t="s">
        <v>274</v>
      </c>
      <c r="G16" s="245" t="s">
        <v>275</v>
      </c>
      <c r="H16" s="245" t="s">
        <v>276</v>
      </c>
      <c r="I16" s="245" t="s">
        <v>277</v>
      </c>
      <c r="J16" s="245" t="s">
        <v>278</v>
      </c>
    </row>
    <row r="17" spans="2:10" ht="15.75" customHeight="1" thickBot="1" x14ac:dyDescent="0.3">
      <c r="B17" s="1" t="s">
        <v>266</v>
      </c>
      <c r="C17" s="1">
        <v>2.5307656679001415E-2</v>
      </c>
      <c r="D17" s="1">
        <v>9.2358412323252769E-3</v>
      </c>
      <c r="E17" s="1">
        <v>2.740157181397302</v>
      </c>
      <c r="F17" s="1">
        <v>8.1851426324881706E-3</v>
      </c>
      <c r="G17" s="1">
        <v>6.8132036237743658E-3</v>
      </c>
      <c r="H17" s="1">
        <v>4.3802109734228462E-2</v>
      </c>
      <c r="I17" s="1">
        <v>6.8132036237743658E-3</v>
      </c>
      <c r="J17" s="1">
        <v>4.3802109734228462E-2</v>
      </c>
    </row>
    <row r="18" spans="2:10" ht="15.75" customHeight="1" thickBot="1" x14ac:dyDescent="0.3">
      <c r="B18" s="32" t="s">
        <v>279</v>
      </c>
      <c r="C18" s="246">
        <v>1.0818097543085217</v>
      </c>
      <c r="D18" s="32">
        <v>0.16791786553916632</v>
      </c>
      <c r="E18" s="32">
        <v>6.44249348236381</v>
      </c>
      <c r="F18" s="32">
        <v>2.6850976390761785E-8</v>
      </c>
      <c r="G18" s="32">
        <v>0.74556002856846948</v>
      </c>
      <c r="H18" s="32">
        <v>1.4180594800485737</v>
      </c>
      <c r="I18" s="32">
        <v>0.74556002856846948</v>
      </c>
      <c r="J18" s="32">
        <v>1.4180594800485737</v>
      </c>
    </row>
    <row r="19" spans="2:10" ht="15.75" customHeight="1" x14ac:dyDescent="0.25">
      <c r="B19"/>
      <c r="C19"/>
      <c r="D19"/>
      <c r="E19"/>
      <c r="F19"/>
      <c r="G19"/>
      <c r="H19"/>
      <c r="I19"/>
      <c r="J19"/>
    </row>
    <row r="20" spans="2:10" ht="15.75" customHeight="1" thickBot="1" x14ac:dyDescent="0.3">
      <c r="B20" s="270" t="s">
        <v>1</v>
      </c>
      <c r="C20" s="270" t="s">
        <v>255</v>
      </c>
      <c r="D20" s="270" t="s">
        <v>103</v>
      </c>
      <c r="E20" s="270" t="s">
        <v>256</v>
      </c>
      <c r="F20" s="270" t="s">
        <v>104</v>
      </c>
      <c r="G20"/>
      <c r="H20"/>
      <c r="I20"/>
      <c r="J20"/>
    </row>
    <row r="21" spans="2:10" x14ac:dyDescent="0.25">
      <c r="B21" s="34">
        <v>43344</v>
      </c>
      <c r="C21" s="238">
        <v>33.380001</v>
      </c>
      <c r="D21" s="239">
        <v>2913.98</v>
      </c>
      <c r="E21" s="2"/>
      <c r="F21" s="269"/>
      <c r="H21" s="1"/>
    </row>
    <row r="22" spans="2:10" x14ac:dyDescent="0.25">
      <c r="B22" s="34">
        <v>43374</v>
      </c>
      <c r="C22" s="238">
        <v>31.200001</v>
      </c>
      <c r="D22" s="239">
        <v>2711.74</v>
      </c>
      <c r="E22" s="240">
        <f>C22/C21-1</f>
        <v>-6.5308566048275396E-2</v>
      </c>
      <c r="F22" s="35">
        <f>D22/D21-1</f>
        <v>-6.9403358979814644E-2</v>
      </c>
      <c r="H22" s="1"/>
    </row>
    <row r="23" spans="2:10" x14ac:dyDescent="0.25">
      <c r="B23" s="34">
        <v>43405</v>
      </c>
      <c r="C23" s="238">
        <v>35.099997999999999</v>
      </c>
      <c r="D23" s="239">
        <v>2760.17</v>
      </c>
      <c r="E23" s="240">
        <f t="shared" ref="E23:E80" si="0">C23/C22-1</f>
        <v>0.1249998998397468</v>
      </c>
      <c r="F23" s="35">
        <f t="shared" ref="F23:F80" si="1">D23/D22-1</f>
        <v>1.785938179914015E-2</v>
      </c>
      <c r="H23" s="1"/>
    </row>
    <row r="24" spans="2:10" x14ac:dyDescent="0.25">
      <c r="B24" s="34">
        <v>43435</v>
      </c>
      <c r="C24" s="238">
        <v>30.1</v>
      </c>
      <c r="D24" s="239">
        <v>2506.85</v>
      </c>
      <c r="E24" s="240">
        <f t="shared" si="0"/>
        <v>-0.14245009358689986</v>
      </c>
      <c r="F24" s="35">
        <f t="shared" si="1"/>
        <v>-9.1776955767217339E-2</v>
      </c>
      <c r="H24" s="1"/>
    </row>
    <row r="25" spans="2:10" x14ac:dyDescent="0.25">
      <c r="B25" s="34">
        <v>43466</v>
      </c>
      <c r="C25" s="238">
        <v>35.340000000000003</v>
      </c>
      <c r="D25" s="239">
        <v>2704.1</v>
      </c>
      <c r="E25" s="240">
        <f t="shared" si="0"/>
        <v>0.17408637873754151</v>
      </c>
      <c r="F25" s="35">
        <f t="shared" si="1"/>
        <v>7.8684404731036883E-2</v>
      </c>
      <c r="H25" s="1"/>
    </row>
    <row r="26" spans="2:10" x14ac:dyDescent="0.25">
      <c r="B26" s="34">
        <v>43497</v>
      </c>
      <c r="C26" s="238">
        <v>35.639999000000003</v>
      </c>
      <c r="D26" s="239">
        <v>2784.49</v>
      </c>
      <c r="E26" s="240">
        <f t="shared" si="0"/>
        <v>8.4889360498019428E-3</v>
      </c>
      <c r="F26" s="35">
        <f t="shared" si="1"/>
        <v>2.9728930143116061E-2</v>
      </c>
      <c r="H26" s="1"/>
    </row>
    <row r="27" spans="2:10" x14ac:dyDescent="0.25">
      <c r="B27" s="34">
        <v>43525</v>
      </c>
      <c r="C27" s="238">
        <v>37.740001999999997</v>
      </c>
      <c r="D27" s="239">
        <v>2834.4</v>
      </c>
      <c r="E27" s="240">
        <f t="shared" si="0"/>
        <v>5.8922644750915687E-2</v>
      </c>
      <c r="F27" s="35">
        <f t="shared" si="1"/>
        <v>1.7924287751078349E-2</v>
      </c>
      <c r="H27" s="1"/>
    </row>
    <row r="28" spans="2:10" x14ac:dyDescent="0.25">
      <c r="B28" s="34">
        <v>43556</v>
      </c>
      <c r="C28" s="238">
        <v>40.599997999999999</v>
      </c>
      <c r="D28" s="239">
        <v>2945.83</v>
      </c>
      <c r="E28" s="240">
        <f t="shared" si="0"/>
        <v>7.578155401263631E-2</v>
      </c>
      <c r="F28" s="35">
        <f t="shared" si="1"/>
        <v>3.9313434942139347E-2</v>
      </c>
      <c r="H28" s="1"/>
    </row>
    <row r="29" spans="2:10" x14ac:dyDescent="0.25">
      <c r="B29" s="34">
        <v>43586</v>
      </c>
      <c r="C29" s="238">
        <v>34.759998000000003</v>
      </c>
      <c r="D29" s="239">
        <v>2752.06</v>
      </c>
      <c r="E29" s="240">
        <f t="shared" si="0"/>
        <v>-0.14384237161785074</v>
      </c>
      <c r="F29" s="35">
        <f t="shared" si="1"/>
        <v>-6.5777726481161536E-2</v>
      </c>
      <c r="H29" s="1"/>
    </row>
    <row r="30" spans="2:10" x14ac:dyDescent="0.25">
      <c r="B30" s="34">
        <v>43617</v>
      </c>
      <c r="C30" s="238">
        <v>38.189999</v>
      </c>
      <c r="D30" s="239">
        <v>2941.76</v>
      </c>
      <c r="E30" s="240">
        <f t="shared" si="0"/>
        <v>9.8676674262179187E-2</v>
      </c>
      <c r="F30" s="35">
        <f t="shared" si="1"/>
        <v>6.8930183208214979E-2</v>
      </c>
      <c r="H30" s="1"/>
    </row>
    <row r="31" spans="2:10" x14ac:dyDescent="0.25">
      <c r="B31" s="34">
        <v>43647</v>
      </c>
      <c r="C31" s="238">
        <v>37.419998</v>
      </c>
      <c r="D31" s="239">
        <v>2980.38</v>
      </c>
      <c r="E31" s="240">
        <f t="shared" si="0"/>
        <v>-2.0162372876731394E-2</v>
      </c>
      <c r="F31" s="35">
        <f t="shared" si="1"/>
        <v>1.3128195366039375E-2</v>
      </c>
      <c r="H31" s="1"/>
    </row>
    <row r="32" spans="2:10" x14ac:dyDescent="0.25">
      <c r="B32" s="34">
        <v>43678</v>
      </c>
      <c r="C32" s="238">
        <v>33.900002000000001</v>
      </c>
      <c r="D32" s="239">
        <v>2926.46</v>
      </c>
      <c r="E32" s="240">
        <f t="shared" si="0"/>
        <v>-9.4067241799424939E-2</v>
      </c>
      <c r="F32" s="35">
        <f t="shared" si="1"/>
        <v>-1.8091652742267761E-2</v>
      </c>
      <c r="H32" s="1"/>
    </row>
    <row r="33" spans="2:8" x14ac:dyDescent="0.25">
      <c r="B33" s="34">
        <v>43709</v>
      </c>
      <c r="C33" s="238">
        <v>37.799999</v>
      </c>
      <c r="D33" s="239">
        <v>2976.74</v>
      </c>
      <c r="E33" s="240">
        <f t="shared" si="0"/>
        <v>0.11504415250476963</v>
      </c>
      <c r="F33" s="35">
        <f t="shared" si="1"/>
        <v>1.7181167690656807E-2</v>
      </c>
      <c r="H33" s="1"/>
    </row>
    <row r="34" spans="2:8" x14ac:dyDescent="0.25">
      <c r="B34" s="34">
        <v>43739</v>
      </c>
      <c r="C34" s="238">
        <v>42.049999</v>
      </c>
      <c r="D34" s="239">
        <v>3037.56</v>
      </c>
      <c r="E34" s="240">
        <f t="shared" si="0"/>
        <v>0.11243386540830325</v>
      </c>
      <c r="F34" s="35">
        <f t="shared" si="1"/>
        <v>2.0431747482144935E-2</v>
      </c>
      <c r="H34" s="1"/>
    </row>
    <row r="35" spans="2:8" x14ac:dyDescent="0.25">
      <c r="B35" s="34">
        <v>43770</v>
      </c>
      <c r="C35" s="238">
        <v>41.639999000000003</v>
      </c>
      <c r="D35" s="239">
        <v>3140.98</v>
      </c>
      <c r="E35" s="240">
        <f t="shared" si="0"/>
        <v>-9.750297497034377E-3</v>
      </c>
      <c r="F35" s="35">
        <f t="shared" si="1"/>
        <v>3.404706409091518E-2</v>
      </c>
      <c r="H35" s="1"/>
    </row>
    <row r="36" spans="2:8" x14ac:dyDescent="0.25">
      <c r="B36" s="34">
        <v>43800</v>
      </c>
      <c r="C36" s="238">
        <v>40.709999000000003</v>
      </c>
      <c r="D36" s="239">
        <v>3230.78</v>
      </c>
      <c r="E36" s="240">
        <f t="shared" si="0"/>
        <v>-2.2334294484493089E-2</v>
      </c>
      <c r="F36" s="35">
        <f t="shared" si="1"/>
        <v>2.8589803182446305E-2</v>
      </c>
      <c r="H36" s="1"/>
    </row>
    <row r="37" spans="2:8" x14ac:dyDescent="0.25">
      <c r="B37" s="34">
        <v>43831</v>
      </c>
      <c r="C37" s="238">
        <v>39.150002000000001</v>
      </c>
      <c r="D37" s="239">
        <v>3225.52</v>
      </c>
      <c r="E37" s="240">
        <f t="shared" si="0"/>
        <v>-3.8319750388596252E-2</v>
      </c>
      <c r="F37" s="35">
        <f t="shared" si="1"/>
        <v>-1.6280898111292741E-3</v>
      </c>
      <c r="H37" s="1"/>
    </row>
    <row r="38" spans="2:8" x14ac:dyDescent="0.25">
      <c r="B38" s="34">
        <v>43862</v>
      </c>
      <c r="C38" s="238">
        <v>38.130001</v>
      </c>
      <c r="D38" s="239">
        <v>2954.22</v>
      </c>
      <c r="E38" s="240">
        <f t="shared" si="0"/>
        <v>-2.6053664058561243E-2</v>
      </c>
      <c r="F38" s="35">
        <f t="shared" si="1"/>
        <v>-8.4110469009648137E-2</v>
      </c>
      <c r="H38" s="1"/>
    </row>
    <row r="39" spans="2:8" x14ac:dyDescent="0.25">
      <c r="B39" s="34">
        <v>43891</v>
      </c>
      <c r="C39" s="238">
        <v>31.73</v>
      </c>
      <c r="D39" s="239">
        <v>2584.59</v>
      </c>
      <c r="E39" s="240">
        <f t="shared" si="0"/>
        <v>-0.16784686158282558</v>
      </c>
      <c r="F39" s="35">
        <f t="shared" si="1"/>
        <v>-0.12511932083595656</v>
      </c>
      <c r="H39" s="1"/>
    </row>
    <row r="40" spans="2:8" x14ac:dyDescent="0.25">
      <c r="B40" s="34">
        <v>43922</v>
      </c>
      <c r="C40" s="238">
        <v>36.360000999999997</v>
      </c>
      <c r="D40" s="239">
        <v>2912.43</v>
      </c>
      <c r="E40" s="240">
        <f t="shared" si="0"/>
        <v>0.14591872045382903</v>
      </c>
      <c r="F40" s="35">
        <f t="shared" si="1"/>
        <v>0.12684410293315374</v>
      </c>
      <c r="H40" s="1"/>
    </row>
    <row r="41" spans="2:8" x14ac:dyDescent="0.25">
      <c r="B41" s="34">
        <v>43952</v>
      </c>
      <c r="C41" s="238">
        <v>36.93</v>
      </c>
      <c r="D41" s="239">
        <v>3044.31</v>
      </c>
      <c r="E41" s="240">
        <f t="shared" si="0"/>
        <v>1.5676539722867533E-2</v>
      </c>
      <c r="F41" s="35">
        <f t="shared" si="1"/>
        <v>4.528177501261843E-2</v>
      </c>
      <c r="H41" s="1"/>
    </row>
    <row r="42" spans="2:8" x14ac:dyDescent="0.25">
      <c r="B42" s="34">
        <v>43983</v>
      </c>
      <c r="C42" s="238">
        <v>39.229999999999997</v>
      </c>
      <c r="D42" s="239">
        <v>3100.29</v>
      </c>
      <c r="E42" s="240">
        <f t="shared" si="0"/>
        <v>6.2279989168697369E-2</v>
      </c>
      <c r="F42" s="35">
        <f t="shared" si="1"/>
        <v>1.8388403283502663E-2</v>
      </c>
      <c r="H42" s="1"/>
    </row>
    <row r="43" spans="2:8" x14ac:dyDescent="0.25">
      <c r="B43" s="34">
        <v>44013</v>
      </c>
      <c r="C43" s="238">
        <v>39.970001000000003</v>
      </c>
      <c r="D43" s="239">
        <v>3271.12</v>
      </c>
      <c r="E43" s="240">
        <f t="shared" si="0"/>
        <v>1.8863140453734495E-2</v>
      </c>
      <c r="F43" s="35">
        <f t="shared" si="1"/>
        <v>5.5101296975444303E-2</v>
      </c>
      <c r="H43" s="1"/>
    </row>
    <row r="44" spans="2:8" x14ac:dyDescent="0.25">
      <c r="B44" s="34">
        <v>44044</v>
      </c>
      <c r="C44" s="238">
        <v>51.25</v>
      </c>
      <c r="D44" s="239">
        <v>3500.31</v>
      </c>
      <c r="E44" s="240">
        <f t="shared" si="0"/>
        <v>0.28221162666470767</v>
      </c>
      <c r="F44" s="35">
        <f t="shared" si="1"/>
        <v>7.0064687324219221E-2</v>
      </c>
      <c r="H44" s="1"/>
    </row>
    <row r="45" spans="2:8" x14ac:dyDescent="0.25">
      <c r="B45" s="34">
        <v>44075</v>
      </c>
      <c r="C45" s="238">
        <v>52.860000999999997</v>
      </c>
      <c r="D45" s="239">
        <v>3363</v>
      </c>
      <c r="E45" s="240">
        <f t="shared" si="0"/>
        <v>3.1414653658536462E-2</v>
      </c>
      <c r="F45" s="35">
        <f t="shared" si="1"/>
        <v>-3.9227954095494399E-2</v>
      </c>
      <c r="H45" s="1"/>
    </row>
    <row r="46" spans="2:8" x14ac:dyDescent="0.25">
      <c r="B46" s="34">
        <v>44105</v>
      </c>
      <c r="C46" s="238">
        <v>62.43</v>
      </c>
      <c r="D46" s="239">
        <v>3269.96</v>
      </c>
      <c r="E46" s="240">
        <f t="shared" si="0"/>
        <v>0.18104424553453957</v>
      </c>
      <c r="F46" s="35">
        <f t="shared" si="1"/>
        <v>-2.7665774606006499E-2</v>
      </c>
      <c r="H46" s="1"/>
    </row>
    <row r="47" spans="2:8" x14ac:dyDescent="0.25">
      <c r="B47" s="34">
        <v>44136</v>
      </c>
      <c r="C47" s="238">
        <v>68.339995999999999</v>
      </c>
      <c r="D47" s="239">
        <v>3621.63</v>
      </c>
      <c r="E47" s="240">
        <f t="shared" si="0"/>
        <v>9.4665961877302474E-2</v>
      </c>
      <c r="F47" s="35">
        <f t="shared" si="1"/>
        <v>0.10754565805086314</v>
      </c>
      <c r="H47" s="1"/>
    </row>
    <row r="48" spans="2:8" x14ac:dyDescent="0.25">
      <c r="B48" s="34">
        <v>44166</v>
      </c>
      <c r="C48" s="238">
        <v>72.019997000000004</v>
      </c>
      <c r="D48" s="239">
        <v>3756.07</v>
      </c>
      <c r="E48" s="240">
        <f t="shared" si="0"/>
        <v>5.3848422818169484E-2</v>
      </c>
      <c r="F48" s="35">
        <f t="shared" si="1"/>
        <v>3.712140665943231E-2</v>
      </c>
      <c r="H48" s="1"/>
    </row>
    <row r="49" spans="2:8" x14ac:dyDescent="0.25">
      <c r="B49" s="34">
        <v>44197</v>
      </c>
      <c r="C49" s="238">
        <v>70.470000999999996</v>
      </c>
      <c r="D49" s="239">
        <v>3714.24</v>
      </c>
      <c r="E49" s="240">
        <f t="shared" si="0"/>
        <v>-2.1521744856501601E-2</v>
      </c>
      <c r="F49" s="35">
        <f t="shared" si="1"/>
        <v>-1.1136640158463607E-2</v>
      </c>
      <c r="H49" s="1"/>
    </row>
    <row r="50" spans="2:8" x14ac:dyDescent="0.25">
      <c r="B50" s="34">
        <v>44228</v>
      </c>
      <c r="C50" s="238">
        <v>83.849997999999999</v>
      </c>
      <c r="D50" s="239">
        <v>3811.15</v>
      </c>
      <c r="E50" s="240">
        <f t="shared" si="0"/>
        <v>0.1898679836828725</v>
      </c>
      <c r="F50" s="35">
        <f t="shared" si="1"/>
        <v>2.6091474971999817E-2</v>
      </c>
      <c r="H50" s="1"/>
    </row>
    <row r="51" spans="2:8" x14ac:dyDescent="0.25">
      <c r="B51" s="34">
        <v>44256</v>
      </c>
      <c r="C51" s="238">
        <v>87.980002999999996</v>
      </c>
      <c r="D51" s="239">
        <v>3972.89</v>
      </c>
      <c r="E51" s="240">
        <f t="shared" si="0"/>
        <v>4.9254682152765294E-2</v>
      </c>
      <c r="F51" s="35">
        <f t="shared" si="1"/>
        <v>4.2438634008107767E-2</v>
      </c>
      <c r="H51" s="1"/>
    </row>
    <row r="52" spans="2:8" x14ac:dyDescent="0.25">
      <c r="B52" s="34">
        <v>44287</v>
      </c>
      <c r="C52" s="238">
        <v>96.639999000000003</v>
      </c>
      <c r="D52" s="239">
        <v>4181.17</v>
      </c>
      <c r="E52" s="240">
        <f t="shared" si="0"/>
        <v>9.8431412874582458E-2</v>
      </c>
      <c r="F52" s="35">
        <f t="shared" si="1"/>
        <v>5.242531255584737E-2</v>
      </c>
      <c r="H52" s="1"/>
    </row>
    <row r="53" spans="2:8" x14ac:dyDescent="0.25">
      <c r="B53" s="34">
        <v>44317</v>
      </c>
      <c r="C53" s="238">
        <v>95.349997999999999</v>
      </c>
      <c r="D53" s="239">
        <v>4204.1099999999997</v>
      </c>
      <c r="E53" s="240">
        <f t="shared" si="0"/>
        <v>-1.3348520419583232E-2</v>
      </c>
      <c r="F53" s="35">
        <f t="shared" si="1"/>
        <v>5.4865025818131574E-3</v>
      </c>
      <c r="H53" s="1"/>
    </row>
    <row r="54" spans="2:8" x14ac:dyDescent="0.25">
      <c r="B54" s="34">
        <v>44348</v>
      </c>
      <c r="C54" s="238">
        <v>90.57</v>
      </c>
      <c r="D54" s="239">
        <v>4297.5</v>
      </c>
      <c r="E54" s="240">
        <f t="shared" si="0"/>
        <v>-5.0131076038407496E-2</v>
      </c>
      <c r="F54" s="35">
        <f t="shared" si="1"/>
        <v>2.221397632316946E-2</v>
      </c>
      <c r="H54" s="1"/>
    </row>
    <row r="55" spans="2:8" x14ac:dyDescent="0.25">
      <c r="B55" s="34">
        <v>44378</v>
      </c>
      <c r="C55" s="238">
        <v>90.900002000000001</v>
      </c>
      <c r="D55" s="239">
        <v>4395.26</v>
      </c>
      <c r="E55" s="240">
        <f t="shared" si="0"/>
        <v>3.6436126752787956E-3</v>
      </c>
      <c r="F55" s="35">
        <f t="shared" si="1"/>
        <v>2.274810936591054E-2</v>
      </c>
      <c r="H55" s="1"/>
    </row>
    <row r="56" spans="2:8" x14ac:dyDescent="0.25">
      <c r="B56" s="34">
        <v>44409</v>
      </c>
      <c r="C56" s="238">
        <v>102.099998</v>
      </c>
      <c r="D56" s="239">
        <v>4522.68</v>
      </c>
      <c r="E56" s="240">
        <f t="shared" si="0"/>
        <v>0.12321227451678163</v>
      </c>
      <c r="F56" s="35">
        <f t="shared" si="1"/>
        <v>2.8990321391681118E-2</v>
      </c>
      <c r="H56" s="1"/>
    </row>
    <row r="57" spans="2:8" x14ac:dyDescent="0.25">
      <c r="B57" s="34">
        <v>44440</v>
      </c>
      <c r="C57" s="238">
        <v>113.82</v>
      </c>
      <c r="D57" s="239">
        <v>4307.54</v>
      </c>
      <c r="E57" s="240">
        <f t="shared" si="0"/>
        <v>0.11478944397236912</v>
      </c>
      <c r="F57" s="35">
        <f t="shared" si="1"/>
        <v>-4.7569140421166334E-2</v>
      </c>
      <c r="H57" s="1"/>
    </row>
    <row r="58" spans="2:8" x14ac:dyDescent="0.25">
      <c r="B58" s="34">
        <v>44470</v>
      </c>
      <c r="C58" s="238">
        <v>121.279999</v>
      </c>
      <c r="D58" s="239">
        <v>4605.38</v>
      </c>
      <c r="E58" s="240">
        <f t="shared" si="0"/>
        <v>6.5542075206466377E-2</v>
      </c>
      <c r="F58" s="35">
        <f t="shared" si="1"/>
        <v>6.9143873301234615E-2</v>
      </c>
      <c r="H58" s="1"/>
    </row>
    <row r="59" spans="2:8" x14ac:dyDescent="0.25">
      <c r="B59" s="34">
        <v>44501</v>
      </c>
      <c r="C59" s="238">
        <v>113.779999</v>
      </c>
      <c r="D59" s="239">
        <v>4567</v>
      </c>
      <c r="E59" s="240">
        <f t="shared" si="0"/>
        <v>-6.1840369903037318E-2</v>
      </c>
      <c r="F59" s="35">
        <f t="shared" si="1"/>
        <v>-8.3337314184714906E-3</v>
      </c>
      <c r="H59" s="1"/>
    </row>
    <row r="60" spans="2:8" x14ac:dyDescent="0.25">
      <c r="B60" s="34">
        <v>44531</v>
      </c>
      <c r="C60" s="238">
        <v>114.660004</v>
      </c>
      <c r="D60" s="239">
        <v>4766.18</v>
      </c>
      <c r="E60" s="240">
        <f t="shared" si="0"/>
        <v>7.7342679533685121E-3</v>
      </c>
      <c r="F60" s="35">
        <f t="shared" si="1"/>
        <v>4.3612874972629889E-2</v>
      </c>
    </row>
    <row r="61" spans="2:8" x14ac:dyDescent="0.25">
      <c r="B61" s="34">
        <v>44562</v>
      </c>
      <c r="C61" s="238">
        <v>102.720001</v>
      </c>
      <c r="D61" s="239">
        <v>4515.55</v>
      </c>
      <c r="E61" s="240">
        <f t="shared" si="0"/>
        <v>-0.10413398380833827</v>
      </c>
      <c r="F61" s="35">
        <f t="shared" si="1"/>
        <v>-5.2585089106999772E-2</v>
      </c>
    </row>
    <row r="62" spans="2:8" x14ac:dyDescent="0.25">
      <c r="B62" s="34">
        <v>44593</v>
      </c>
      <c r="C62" s="238">
        <v>108.94000200000001</v>
      </c>
      <c r="D62" s="239">
        <v>4373.9399999999996</v>
      </c>
      <c r="E62" s="240">
        <f t="shared" si="0"/>
        <v>6.0552968647264782E-2</v>
      </c>
      <c r="F62" s="35">
        <f t="shared" si="1"/>
        <v>-3.1360520866782648E-2</v>
      </c>
    </row>
    <row r="63" spans="2:8" x14ac:dyDescent="0.25">
      <c r="B63" s="34">
        <v>44621</v>
      </c>
      <c r="C63" s="238">
        <v>131.61000100000001</v>
      </c>
      <c r="D63" s="239">
        <v>4530.41</v>
      </c>
      <c r="E63" s="240">
        <f t="shared" si="0"/>
        <v>0.20809618674323138</v>
      </c>
      <c r="F63" s="35">
        <f t="shared" si="1"/>
        <v>3.5773238773280092E-2</v>
      </c>
    </row>
    <row r="64" spans="2:8" x14ac:dyDescent="0.25">
      <c r="B64" s="34">
        <v>44652</v>
      </c>
      <c r="C64" s="238">
        <v>115.980003</v>
      </c>
      <c r="D64" s="239">
        <v>4131.93</v>
      </c>
      <c r="E64" s="240">
        <f t="shared" si="0"/>
        <v>-0.11875995654767924</v>
      </c>
      <c r="F64" s="35">
        <f t="shared" si="1"/>
        <v>-8.7956719149039353E-2</v>
      </c>
    </row>
    <row r="65" spans="2:6" x14ac:dyDescent="0.25">
      <c r="B65" s="34">
        <v>44682</v>
      </c>
      <c r="C65" s="238">
        <v>119</v>
      </c>
      <c r="D65" s="239">
        <v>4132.1499999999996</v>
      </c>
      <c r="E65" s="240">
        <f t="shared" si="0"/>
        <v>2.603894569652665E-2</v>
      </c>
      <c r="F65" s="35">
        <f t="shared" si="1"/>
        <v>5.3243883608722342E-5</v>
      </c>
    </row>
    <row r="66" spans="2:6" x14ac:dyDescent="0.25">
      <c r="B66" s="34">
        <v>44713</v>
      </c>
      <c r="C66" s="238">
        <v>125.339996</v>
      </c>
      <c r="D66" s="239">
        <v>3785.38</v>
      </c>
      <c r="E66" s="240">
        <f t="shared" si="0"/>
        <v>5.3277277310924465E-2</v>
      </c>
      <c r="F66" s="35">
        <f t="shared" si="1"/>
        <v>-8.3919993223866451E-2</v>
      </c>
    </row>
    <row r="67" spans="2:6" x14ac:dyDescent="0.25">
      <c r="B67" s="34">
        <v>44743</v>
      </c>
      <c r="C67" s="238">
        <v>138.729996</v>
      </c>
      <c r="D67" s="239">
        <v>4130.29</v>
      </c>
      <c r="E67" s="240">
        <f t="shared" si="0"/>
        <v>0.10682942737607881</v>
      </c>
      <c r="F67" s="35">
        <f t="shared" si="1"/>
        <v>9.1116347632205885E-2</v>
      </c>
    </row>
    <row r="68" spans="2:6" x14ac:dyDescent="0.25">
      <c r="B68" s="34">
        <v>44774</v>
      </c>
      <c r="C68" s="238">
        <v>141.300003</v>
      </c>
      <c r="D68" s="239">
        <v>3955</v>
      </c>
      <c r="E68" s="240">
        <f t="shared" si="0"/>
        <v>1.8525243812448577E-2</v>
      </c>
      <c r="F68" s="35">
        <f t="shared" si="1"/>
        <v>-4.2440119216810457E-2</v>
      </c>
    </row>
    <row r="69" spans="2:6" x14ac:dyDescent="0.25">
      <c r="B69" s="34">
        <v>44805</v>
      </c>
      <c r="C69" s="238">
        <v>127.389999</v>
      </c>
      <c r="D69" s="239">
        <v>3585.62</v>
      </c>
      <c r="E69" s="240">
        <f t="shared" si="0"/>
        <v>-9.8443055234754717E-2</v>
      </c>
      <c r="F69" s="35">
        <f t="shared" si="1"/>
        <v>-9.3395701643489315E-2</v>
      </c>
    </row>
    <row r="70" spans="2:6" x14ac:dyDescent="0.25">
      <c r="B70" s="34">
        <v>44835</v>
      </c>
      <c r="C70" s="238">
        <v>142.03999300000001</v>
      </c>
      <c r="D70" s="239">
        <v>3871.98</v>
      </c>
      <c r="E70" s="240">
        <f t="shared" si="0"/>
        <v>0.1150011312897492</v>
      </c>
      <c r="F70" s="35">
        <f t="shared" si="1"/>
        <v>7.9863454576893256E-2</v>
      </c>
    </row>
    <row r="71" spans="2:6" x14ac:dyDescent="0.25">
      <c r="B71" s="34">
        <v>44866</v>
      </c>
      <c r="C71" s="238">
        <v>149.88000500000001</v>
      </c>
      <c r="D71" s="239">
        <v>4080.11</v>
      </c>
      <c r="E71" s="240">
        <f t="shared" si="0"/>
        <v>5.5195806719027463E-2</v>
      </c>
      <c r="F71" s="35">
        <f t="shared" si="1"/>
        <v>5.3752860293699856E-2</v>
      </c>
    </row>
    <row r="72" spans="2:6" x14ac:dyDescent="0.25">
      <c r="B72" s="34">
        <v>44896</v>
      </c>
      <c r="C72" s="238">
        <v>142.5</v>
      </c>
      <c r="D72" s="239">
        <v>3839.5</v>
      </c>
      <c r="E72" s="240">
        <f t="shared" si="0"/>
        <v>-4.9239423230603818E-2</v>
      </c>
      <c r="F72" s="35">
        <f t="shared" si="1"/>
        <v>-5.8971449299161094E-2</v>
      </c>
    </row>
    <row r="73" spans="2:6" x14ac:dyDescent="0.25">
      <c r="B73" s="34">
        <v>44927</v>
      </c>
      <c r="C73" s="238">
        <v>152.19000199999999</v>
      </c>
      <c r="D73" s="239">
        <v>4076.6</v>
      </c>
      <c r="E73" s="240">
        <f t="shared" si="0"/>
        <v>6.8000014035087597E-2</v>
      </c>
      <c r="F73" s="35">
        <f t="shared" si="1"/>
        <v>6.1752832400052027E-2</v>
      </c>
    </row>
    <row r="74" spans="2:6" x14ac:dyDescent="0.25">
      <c r="B74" s="34">
        <v>44958</v>
      </c>
      <c r="C74" s="238">
        <v>161.39999399999999</v>
      </c>
      <c r="D74" s="239">
        <v>3970.15</v>
      </c>
      <c r="E74" s="240">
        <f t="shared" si="0"/>
        <v>6.0516406327401295E-2</v>
      </c>
      <c r="F74" s="35">
        <f t="shared" si="1"/>
        <v>-2.6112446646715304E-2</v>
      </c>
    </row>
    <row r="75" spans="2:6" x14ac:dyDescent="0.25">
      <c r="B75" s="34">
        <v>44986</v>
      </c>
      <c r="C75" s="238">
        <v>166.63999899999999</v>
      </c>
      <c r="D75" s="239">
        <v>4109.3100000000004</v>
      </c>
      <c r="E75" s="240">
        <f t="shared" si="0"/>
        <v>3.2465955358089937E-2</v>
      </c>
      <c r="F75" s="35">
        <f t="shared" si="1"/>
        <v>3.5051572358727023E-2</v>
      </c>
    </row>
    <row r="76" spans="2:6" x14ac:dyDescent="0.25">
      <c r="B76" s="34">
        <v>45017</v>
      </c>
      <c r="C76" s="238">
        <v>169.63999899999999</v>
      </c>
      <c r="D76" s="239">
        <v>4169.4799999999996</v>
      </c>
      <c r="E76" s="240">
        <f t="shared" si="0"/>
        <v>1.8002880568908308E-2</v>
      </c>
      <c r="F76" s="35">
        <f t="shared" si="1"/>
        <v>1.464236088297044E-2</v>
      </c>
    </row>
    <row r="77" spans="2:6" x14ac:dyDescent="0.25">
      <c r="B77" s="34">
        <v>45047</v>
      </c>
      <c r="C77" s="238">
        <v>177.58000200000001</v>
      </c>
      <c r="D77" s="239">
        <v>4179.83</v>
      </c>
      <c r="E77" s="240">
        <f t="shared" si="0"/>
        <v>4.6805016781449105E-2</v>
      </c>
      <c r="F77" s="35">
        <f t="shared" si="1"/>
        <v>2.4823239348792381E-3</v>
      </c>
    </row>
    <row r="78" spans="2:6" x14ac:dyDescent="0.25">
      <c r="B78" s="34">
        <v>45078</v>
      </c>
      <c r="C78" s="238">
        <v>196.449997</v>
      </c>
      <c r="D78" s="239">
        <v>4450.38</v>
      </c>
      <c r="E78" s="240">
        <f t="shared" si="0"/>
        <v>0.10626193708455967</v>
      </c>
      <c r="F78" s="35">
        <f t="shared" si="1"/>
        <v>6.4727512841431301E-2</v>
      </c>
    </row>
    <row r="79" spans="2:6" x14ac:dyDescent="0.25">
      <c r="B79" s="34">
        <v>45108</v>
      </c>
      <c r="C79" s="238">
        <v>201.61999499999999</v>
      </c>
      <c r="D79" s="239">
        <v>4588.96</v>
      </c>
      <c r="E79" s="240">
        <f t="shared" si="0"/>
        <v>2.6317119261651145E-2</v>
      </c>
      <c r="F79" s="35">
        <f t="shared" si="1"/>
        <v>3.1138913980379268E-2</v>
      </c>
    </row>
    <row r="80" spans="2:6" x14ac:dyDescent="0.25">
      <c r="B80" s="36">
        <v>45139</v>
      </c>
      <c r="C80" s="241">
        <v>200.279999</v>
      </c>
      <c r="D80" s="242">
        <v>4478.03</v>
      </c>
      <c r="E80" s="37">
        <f t="shared" si="0"/>
        <v>-6.6461463804717846E-3</v>
      </c>
      <c r="F80" s="38">
        <f t="shared" si="1"/>
        <v>-2.4173233150866502E-2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B68D9-FD74-46CC-9704-38A56DF545C4}">
  <sheetPr>
    <tabColor theme="8" tint="-0.249977111117893"/>
  </sheetPr>
  <dimension ref="A2:O25"/>
  <sheetViews>
    <sheetView showGridLines="0" workbookViewId="0">
      <selection activeCell="N17" sqref="N17"/>
    </sheetView>
  </sheetViews>
  <sheetFormatPr defaultColWidth="12.7109375" defaultRowHeight="15.75" customHeight="1" x14ac:dyDescent="0.25"/>
  <cols>
    <col min="1" max="1" width="5.85546875" style="6" customWidth="1"/>
    <col min="2" max="15" width="15.7109375" style="6" customWidth="1"/>
    <col min="16" max="16384" width="12.7109375" style="6"/>
  </cols>
  <sheetData>
    <row r="2" spans="2:15" ht="15.75" customHeight="1" x14ac:dyDescent="0.25">
      <c r="B2" s="382" t="s">
        <v>105</v>
      </c>
      <c r="C2" s="382"/>
      <c r="D2" s="382"/>
      <c r="E2" s="382"/>
      <c r="F2" s="383"/>
      <c r="G2" s="383"/>
      <c r="H2" s="383"/>
    </row>
    <row r="3" spans="2:15" ht="15.75" customHeight="1" x14ac:dyDescent="0.25">
      <c r="B3" s="382"/>
      <c r="C3" s="382"/>
      <c r="D3" s="382"/>
      <c r="E3" s="382"/>
    </row>
    <row r="4" spans="2:15" ht="15.75" customHeight="1" x14ac:dyDescent="0.25">
      <c r="B4" s="39" t="s">
        <v>4</v>
      </c>
      <c r="C4" s="40"/>
      <c r="D4" s="40"/>
      <c r="E4" s="40"/>
    </row>
    <row r="5" spans="2:15" ht="15.75" customHeight="1" x14ac:dyDescent="0.25">
      <c r="B5" s="39"/>
      <c r="C5" s="40"/>
      <c r="D5" s="40"/>
      <c r="E5" s="40"/>
    </row>
    <row r="6" spans="2:15" ht="15.75" customHeight="1" thickBot="1" x14ac:dyDescent="0.3">
      <c r="B6" s="252" t="s">
        <v>106</v>
      </c>
      <c r="C6" s="253"/>
      <c r="D6" s="253"/>
      <c r="F6" s="252" t="s">
        <v>107</v>
      </c>
      <c r="G6" s="253"/>
      <c r="H6" s="253"/>
      <c r="J6"/>
      <c r="K6"/>
      <c r="L6"/>
      <c r="M6"/>
      <c r="N6"/>
      <c r="O6"/>
    </row>
    <row r="7" spans="2:15" ht="15.75" customHeight="1" x14ac:dyDescent="0.25">
      <c r="B7" s="247" t="s">
        <v>108</v>
      </c>
      <c r="D7" s="278">
        <v>5.2499999999999998E-2</v>
      </c>
      <c r="F7" s="13" t="s">
        <v>109</v>
      </c>
      <c r="H7" s="263">
        <f ca="1">'Debt Schedule'!K62</f>
        <v>2.4300000000000002E-2</v>
      </c>
      <c r="J7"/>
      <c r="K7"/>
      <c r="L7"/>
      <c r="M7"/>
      <c r="N7"/>
      <c r="O7"/>
    </row>
    <row r="8" spans="2:15" ht="15.75" customHeight="1" x14ac:dyDescent="0.25">
      <c r="B8" s="247" t="s">
        <v>111</v>
      </c>
      <c r="D8" s="278">
        <v>0.04</v>
      </c>
      <c r="F8" s="13" t="s">
        <v>112</v>
      </c>
      <c r="H8" s="277">
        <f>D10</f>
        <v>0.27057502169191744</v>
      </c>
    </row>
    <row r="9" spans="2:15" ht="15.75" customHeight="1" x14ac:dyDescent="0.25">
      <c r="B9" s="247" t="s">
        <v>113</v>
      </c>
      <c r="D9" s="271">
        <f>Beta!C18</f>
        <v>1.0818097543085217</v>
      </c>
      <c r="F9" s="42" t="s">
        <v>114</v>
      </c>
      <c r="G9" s="16"/>
      <c r="H9" s="276">
        <f ca="1">H7*(1-H8)</f>
        <v>1.7725026972886408E-2</v>
      </c>
    </row>
    <row r="10" spans="2:15" ht="15.75" customHeight="1" x14ac:dyDescent="0.25">
      <c r="B10" s="247" t="s">
        <v>112</v>
      </c>
      <c r="D10" s="263">
        <f>'Income Statement'!K25</f>
        <v>0.27057502169191744</v>
      </c>
    </row>
    <row r="11" spans="2:15" ht="15.75" customHeight="1" thickBot="1" x14ac:dyDescent="0.3">
      <c r="B11" s="247" t="s">
        <v>115</v>
      </c>
      <c r="D11" s="264">
        <f>Comps!E7</f>
        <v>145.19999999999999</v>
      </c>
      <c r="F11" s="252" t="s">
        <v>116</v>
      </c>
      <c r="G11" s="253"/>
      <c r="H11" s="253"/>
    </row>
    <row r="12" spans="2:15" ht="15.75" customHeight="1" x14ac:dyDescent="0.25">
      <c r="B12" s="247" t="s">
        <v>2</v>
      </c>
      <c r="D12" s="349">
        <f>Comps!D7</f>
        <v>204.49</v>
      </c>
      <c r="F12" s="13" t="s">
        <v>108</v>
      </c>
      <c r="H12" s="277">
        <f>D7</f>
        <v>5.2499999999999998E-2</v>
      </c>
    </row>
    <row r="13" spans="2:15" ht="15.75" customHeight="1" x14ac:dyDescent="0.25">
      <c r="B13" s="247" t="s">
        <v>117</v>
      </c>
      <c r="D13" s="272">
        <f>Comps!G7</f>
        <v>3729.9270000000001</v>
      </c>
      <c r="F13" s="13" t="s">
        <v>111</v>
      </c>
      <c r="H13" s="277">
        <f>D8</f>
        <v>0.04</v>
      </c>
    </row>
    <row r="14" spans="2:15" ht="15.75" customHeight="1" x14ac:dyDescent="0.25">
      <c r="F14" s="13" t="s">
        <v>113</v>
      </c>
      <c r="H14" s="248">
        <f>D9</f>
        <v>1.0818097543085217</v>
      </c>
    </row>
    <row r="15" spans="2:15" ht="15.75" customHeight="1" x14ac:dyDescent="0.25">
      <c r="F15" s="15" t="s">
        <v>118</v>
      </c>
      <c r="G15" s="15"/>
      <c r="H15" s="276">
        <f>H12+H14*H13</f>
        <v>9.5772390172340863E-2</v>
      </c>
      <c r="J15"/>
      <c r="K15"/>
      <c r="L15"/>
      <c r="M15"/>
      <c r="N15"/>
      <c r="O15"/>
    </row>
    <row r="16" spans="2:15" ht="15.75" customHeight="1" x14ac:dyDescent="0.25">
      <c r="J16"/>
      <c r="K16"/>
      <c r="L16"/>
      <c r="M16"/>
      <c r="N16"/>
      <c r="O16"/>
    </row>
    <row r="17" spans="1:15" ht="15.75" customHeight="1" thickBot="1" x14ac:dyDescent="0.3">
      <c r="B17" s="252" t="s">
        <v>120</v>
      </c>
      <c r="C17" s="253"/>
      <c r="D17" s="253"/>
      <c r="E17" s="253"/>
      <c r="F17" s="253"/>
      <c r="G17" s="253"/>
      <c r="J17"/>
      <c r="K17"/>
      <c r="L17"/>
      <c r="M17"/>
      <c r="N17"/>
      <c r="O17"/>
    </row>
    <row r="18" spans="1:15" ht="15.75" customHeight="1" x14ac:dyDescent="0.25">
      <c r="B18" s="14" t="s">
        <v>122</v>
      </c>
      <c r="C18" s="14"/>
      <c r="D18" s="14"/>
      <c r="E18" s="14" t="s">
        <v>123</v>
      </c>
      <c r="F18" s="14" t="s">
        <v>124</v>
      </c>
      <c r="G18" s="14" t="s">
        <v>125</v>
      </c>
      <c r="J18"/>
      <c r="K18"/>
      <c r="L18"/>
      <c r="M18"/>
      <c r="N18"/>
      <c r="O18"/>
    </row>
    <row r="19" spans="1:15" ht="15.75" customHeight="1" x14ac:dyDescent="0.25">
      <c r="A19" s="41"/>
      <c r="B19" s="6" t="s">
        <v>117</v>
      </c>
      <c r="E19" s="249">
        <f>D13</f>
        <v>3729.9270000000001</v>
      </c>
      <c r="F19" s="273">
        <f>E19/$E$21</f>
        <v>0.11160136886395512</v>
      </c>
      <c r="G19" s="273">
        <f ca="1">F19*H9</f>
        <v>1.9781372733246498E-3</v>
      </c>
    </row>
    <row r="20" spans="1:15" ht="15.75" customHeight="1" x14ac:dyDescent="0.25">
      <c r="B20" s="6" t="s">
        <v>126</v>
      </c>
      <c r="E20" s="249">
        <f>D12*D11</f>
        <v>29691.948</v>
      </c>
      <c r="F20" s="273">
        <f>E20/$E$21</f>
        <v>0.88839863113604489</v>
      </c>
      <c r="G20" s="273">
        <f>F20*H15</f>
        <v>8.5084060329734826E-2</v>
      </c>
    </row>
    <row r="21" spans="1:15" ht="15.75" customHeight="1" thickBot="1" x14ac:dyDescent="0.3">
      <c r="B21" s="6" t="s">
        <v>102</v>
      </c>
      <c r="E21" s="249">
        <f>SUM(E19:E20)</f>
        <v>33421.875</v>
      </c>
      <c r="F21" s="273">
        <f>E21/$E$21</f>
        <v>1</v>
      </c>
      <c r="G21" s="273">
        <f ca="1">SUM(G19:G20)</f>
        <v>8.7062197603059471E-2</v>
      </c>
    </row>
    <row r="22" spans="1:15" ht="15.75" customHeight="1" thickBot="1" x14ac:dyDescent="0.3">
      <c r="B22" s="250" t="s">
        <v>127</v>
      </c>
      <c r="C22" s="251"/>
      <c r="D22" s="251"/>
      <c r="E22" s="251"/>
      <c r="F22" s="274"/>
      <c r="G22" s="275">
        <f ca="1">G21</f>
        <v>8.7062197603059471E-2</v>
      </c>
    </row>
    <row r="24" spans="1:15" ht="15.75" customHeight="1" x14ac:dyDescent="0.25">
      <c r="B24" s="6" t="s">
        <v>321</v>
      </c>
    </row>
    <row r="25" spans="1:15" ht="15.75" customHeight="1" x14ac:dyDescent="0.25">
      <c r="B25" s="6" t="s">
        <v>322</v>
      </c>
    </row>
  </sheetData>
  <mergeCells count="2">
    <mergeCell ref="B2:E3"/>
    <mergeCell ref="F2:H2"/>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BADB-BB69-4FED-8904-C55062CEEF0F}">
  <sheetPr>
    <tabColor theme="8" tint="-0.249977111117893"/>
  </sheetPr>
  <dimension ref="B1:R27"/>
  <sheetViews>
    <sheetView showGridLines="0" workbookViewId="0">
      <selection activeCell="L27" sqref="L27"/>
    </sheetView>
  </sheetViews>
  <sheetFormatPr defaultColWidth="12.7109375" defaultRowHeight="15.75" x14ac:dyDescent="0.25"/>
  <cols>
    <col min="1" max="1" width="5.7109375" style="1" customWidth="1"/>
    <col min="2" max="11" width="12.7109375" style="1"/>
    <col min="12" max="14" width="15.7109375" style="1" customWidth="1"/>
    <col min="15" max="15" width="12.7109375" style="1"/>
    <col min="16" max="18" width="15.7109375" customWidth="1"/>
    <col min="19" max="16384" width="12.7109375" style="1"/>
  </cols>
  <sheetData>
    <row r="1" spans="2:18" s="6" customFormat="1" x14ac:dyDescent="0.25">
      <c r="P1"/>
      <c r="Q1"/>
      <c r="R1"/>
    </row>
    <row r="2" spans="2:18" s="6" customFormat="1" ht="18.75" x14ac:dyDescent="0.25">
      <c r="B2" s="8" t="s">
        <v>128</v>
      </c>
      <c r="P2"/>
      <c r="Q2"/>
      <c r="R2"/>
    </row>
    <row r="3" spans="2:18" s="6" customFormat="1" x14ac:dyDescent="0.25">
      <c r="B3" s="18"/>
      <c r="F3" s="343">
        <v>44927</v>
      </c>
      <c r="P3"/>
      <c r="Q3"/>
      <c r="R3"/>
    </row>
    <row r="4" spans="2:18" s="6" customFormat="1" ht="16.5" thickBot="1" x14ac:dyDescent="0.3">
      <c r="B4" s="10" t="s">
        <v>5</v>
      </c>
      <c r="C4" s="10"/>
      <c r="D4" s="10"/>
      <c r="E4" s="10"/>
      <c r="F4" s="12">
        <v>2023</v>
      </c>
      <c r="G4" s="12">
        <f t="shared" ref="G4:J4" si="0">F4+1</f>
        <v>2024</v>
      </c>
      <c r="H4" s="12">
        <f t="shared" si="0"/>
        <v>2025</v>
      </c>
      <c r="I4" s="12">
        <f t="shared" si="0"/>
        <v>2026</v>
      </c>
      <c r="J4" s="12">
        <f t="shared" si="0"/>
        <v>2027</v>
      </c>
      <c r="L4" s="384" t="s">
        <v>141</v>
      </c>
      <c r="M4" s="384"/>
      <c r="N4" s="384"/>
      <c r="P4"/>
      <c r="Q4"/>
      <c r="R4"/>
    </row>
    <row r="5" spans="2:18" s="9" customFormat="1" x14ac:dyDescent="0.25">
      <c r="B5" s="9" t="s">
        <v>4</v>
      </c>
      <c r="L5" s="6" t="s">
        <v>142</v>
      </c>
      <c r="N5" s="103">
        <f ca="1">'Income Statement'!O61</f>
        <v>3372.6739976687345</v>
      </c>
      <c r="P5"/>
      <c r="Q5"/>
      <c r="R5"/>
    </row>
    <row r="6" spans="2:18" x14ac:dyDescent="0.25">
      <c r="L6" s="1" t="s">
        <v>143</v>
      </c>
      <c r="N6" s="348">
        <f ca="1">'Metrics &amp; Drivers'!$M$26</f>
        <v>17.600000000000001</v>
      </c>
    </row>
    <row r="7" spans="2:18" x14ac:dyDescent="0.25">
      <c r="B7" s="19" t="s">
        <v>6</v>
      </c>
      <c r="F7" s="260">
        <f>'Income Statement'!K7</f>
        <v>18718.037724252888</v>
      </c>
      <c r="G7" s="260">
        <f ca="1">'Income Statement'!L7</f>
        <v>21741.008609056091</v>
      </c>
      <c r="H7" s="260">
        <f ca="1">'Income Statement'!M7</f>
        <v>24201.6343161488</v>
      </c>
      <c r="I7" s="260">
        <f ca="1">'Income Statement'!N7</f>
        <v>26807.046358186759</v>
      </c>
      <c r="J7" s="260">
        <f ca="1">'Income Statement'!O7</f>
        <v>28715.342396806616</v>
      </c>
      <c r="L7" s="20" t="s">
        <v>144</v>
      </c>
      <c r="M7" s="20"/>
      <c r="N7" s="259">
        <f ca="1">N6*N5</f>
        <v>59359.062358969735</v>
      </c>
    </row>
    <row r="8" spans="2:18" x14ac:dyDescent="0.25">
      <c r="B8" s="22" t="s">
        <v>280</v>
      </c>
      <c r="F8" s="262">
        <f ca="1">'Income Statement'!K8</f>
        <v>-15535.971311129897</v>
      </c>
      <c r="G8" s="262">
        <f ca="1">'Income Statement'!L8</f>
        <v>-17936.332102471275</v>
      </c>
      <c r="H8" s="262">
        <f ca="1">'Income Statement'!M8</f>
        <v>-19845.340139242016</v>
      </c>
      <c r="I8" s="262">
        <f ca="1">'Income Statement'!N8</f>
        <v>-21847.742781922207</v>
      </c>
      <c r="J8" s="262">
        <f ca="1">'Income Statement'!O8</f>
        <v>-23259.427341413357</v>
      </c>
      <c r="L8" s="24" t="s">
        <v>138</v>
      </c>
      <c r="M8" s="24"/>
      <c r="N8" s="320">
        <f ca="1">J24</f>
        <v>0.69896230171440443</v>
      </c>
    </row>
    <row r="9" spans="2:18" x14ac:dyDescent="0.25">
      <c r="B9" s="20" t="s">
        <v>7</v>
      </c>
      <c r="C9" s="21"/>
      <c r="D9" s="21"/>
      <c r="E9" s="21"/>
      <c r="F9" s="259">
        <f ca="1">SUM(F7:F8)</f>
        <v>3182.0664131229914</v>
      </c>
      <c r="G9" s="259">
        <f t="shared" ref="G9:J9" ca="1" si="1">SUM(G7:G8)</f>
        <v>3804.6765065848158</v>
      </c>
      <c r="H9" s="259">
        <f t="shared" ca="1" si="1"/>
        <v>4356.2941769067838</v>
      </c>
      <c r="I9" s="259">
        <f t="shared" ca="1" si="1"/>
        <v>4959.3035762645522</v>
      </c>
      <c r="J9" s="259">
        <f t="shared" ca="1" si="1"/>
        <v>5455.9150553932595</v>
      </c>
      <c r="L9" s="19" t="s">
        <v>282</v>
      </c>
      <c r="N9" s="259">
        <f ca="1">N8*N7</f>
        <v>41489.746854034354</v>
      </c>
    </row>
    <row r="10" spans="2:18" x14ac:dyDescent="0.25">
      <c r="B10" s="22" t="s">
        <v>129</v>
      </c>
      <c r="F10" s="262">
        <f ca="1">'Income Statement'!K13</f>
        <v>-1460.0069424917253</v>
      </c>
      <c r="G10" s="262">
        <f ca="1">'Income Statement'!L13</f>
        <v>-1706.6691758109032</v>
      </c>
      <c r="H10" s="262">
        <f ca="1">'Income Statement'!M13</f>
        <v>-1911.9291109757553</v>
      </c>
      <c r="I10" s="262">
        <f ca="1">'Income Statement'!N13</f>
        <v>-2131.1601854758474</v>
      </c>
      <c r="J10" s="262">
        <f ca="1">'Income Statement'!O13</f>
        <v>-2297.2273917445295</v>
      </c>
      <c r="L10" s="1" t="s">
        <v>145</v>
      </c>
      <c r="N10" s="258">
        <f ca="1">$D$27</f>
        <v>4286.9788073130712</v>
      </c>
    </row>
    <row r="11" spans="2:18" x14ac:dyDescent="0.25">
      <c r="B11" s="22" t="s">
        <v>130</v>
      </c>
      <c r="F11" s="262">
        <f>'Income Statement'!K15</f>
        <v>36.82126652848396</v>
      </c>
      <c r="G11" s="262">
        <f ca="1">'Income Statement'!L15</f>
        <v>42.767916401561322</v>
      </c>
      <c r="H11" s="262">
        <f ca="1">'Income Statement'!M15</f>
        <v>47.608346596351751</v>
      </c>
      <c r="I11" s="262">
        <f ca="1">'Income Statement'!N15</f>
        <v>52.7335938380591</v>
      </c>
      <c r="J11" s="262">
        <f ca="1">'Income Statement'!O15</f>
        <v>56.487506405626405</v>
      </c>
      <c r="L11" s="20" t="s">
        <v>146</v>
      </c>
      <c r="M11" s="20"/>
      <c r="N11" s="259">
        <f ca="1">SUM(N9:N10)</f>
        <v>45776.725661347424</v>
      </c>
    </row>
    <row r="12" spans="2:18" x14ac:dyDescent="0.25">
      <c r="B12" s="22" t="s">
        <v>97</v>
      </c>
      <c r="F12" s="262">
        <f>'Income Statement'!K9</f>
        <v>-347.37538261872169</v>
      </c>
      <c r="G12" s="262">
        <f ca="1">'Income Statement'!L9</f>
        <v>-403.47665152433729</v>
      </c>
      <c r="H12" s="262">
        <f ca="1">'Income Statement'!M9</f>
        <v>-449.14173720665121</v>
      </c>
      <c r="I12" s="262">
        <f ca="1">'Income Statement'!N9</f>
        <v>-497.49381440167065</v>
      </c>
      <c r="J12" s="262">
        <f ca="1">'Income Statement'!O9</f>
        <v>-532.90858791216817</v>
      </c>
      <c r="L12" s="1" t="s">
        <v>147</v>
      </c>
      <c r="N12" s="262">
        <f>Comps!$C$31</f>
        <v>-3729.9270000000001</v>
      </c>
    </row>
    <row r="13" spans="2:18" x14ac:dyDescent="0.25">
      <c r="B13" s="22" t="s">
        <v>281</v>
      </c>
      <c r="F13" s="262">
        <f>'Income Statement'!K14</f>
        <v>-388.05889709968295</v>
      </c>
      <c r="G13" s="262">
        <f ca="1">'Income Statement'!L14</f>
        <v>-450.7305705305584</v>
      </c>
      <c r="H13" s="262">
        <f ca="1">'Income Statement'!M14</f>
        <v>-501.74380771579524</v>
      </c>
      <c r="I13" s="262">
        <f ca="1">'Income Statement'!N14</f>
        <v>-555.75872842585795</v>
      </c>
      <c r="J13" s="262">
        <f ca="1">'Income Statement'!O14</f>
        <v>-595.32116905108512</v>
      </c>
      <c r="L13" s="1" t="s">
        <v>148</v>
      </c>
      <c r="N13" s="262">
        <f>Comps!$C$32</f>
        <v>428.505</v>
      </c>
    </row>
    <row r="14" spans="2:18" x14ac:dyDescent="0.25">
      <c r="B14" s="20" t="s">
        <v>8</v>
      </c>
      <c r="C14" s="21"/>
      <c r="D14" s="21"/>
      <c r="E14" s="21"/>
      <c r="F14" s="259">
        <f ca="1">SUM(F9:F13)</f>
        <v>1023.4464574413453</v>
      </c>
      <c r="G14" s="259">
        <f t="shared" ref="G14:J14" ca="1" si="2">SUM(G9:G13)</f>
        <v>1286.5680251205781</v>
      </c>
      <c r="H14" s="259">
        <f t="shared" ca="1" si="2"/>
        <v>1541.0878676049338</v>
      </c>
      <c r="I14" s="259">
        <f t="shared" ca="1" si="2"/>
        <v>1827.6244417992357</v>
      </c>
      <c r="J14" s="259">
        <f t="shared" ca="1" si="2"/>
        <v>2086.9454130911031</v>
      </c>
      <c r="L14" s="20" t="s">
        <v>149</v>
      </c>
      <c r="M14" s="20"/>
      <c r="N14" s="259">
        <f ca="1">SUM(N11:N13)</f>
        <v>42475.303661347418</v>
      </c>
    </row>
    <row r="15" spans="2:18" ht="16.5" thickBot="1" x14ac:dyDescent="0.3">
      <c r="B15" s="22" t="s">
        <v>131</v>
      </c>
      <c r="F15" s="262">
        <f ca="1">-'Income Statement'!K25*DCF!F14</f>
        <v>-276.91904742270805</v>
      </c>
      <c r="G15" s="262">
        <f ca="1">-'Income Statement'!L25*DCF!G14</f>
        <v>-348.11317130512782</v>
      </c>
      <c r="H15" s="262">
        <f ca="1">-'Income Statement'!M25*DCF!H14</f>
        <v>-416.97988320635574</v>
      </c>
      <c r="I15" s="262">
        <f ca="1">-'Income Statement'!N25*DCF!I14</f>
        <v>-494.5095229845067</v>
      </c>
      <c r="J15" s="262">
        <f ca="1">-'Income Statement'!O25*DCF!J14</f>
        <v>-564.67530041697285</v>
      </c>
      <c r="L15" s="1" t="s">
        <v>150</v>
      </c>
      <c r="N15" s="262">
        <f>Comps!$E$7</f>
        <v>145.19999999999999</v>
      </c>
    </row>
    <row r="16" spans="2:18" x14ac:dyDescent="0.25">
      <c r="B16" s="20" t="s">
        <v>132</v>
      </c>
      <c r="C16" s="21"/>
      <c r="D16" s="21"/>
      <c r="E16" s="21"/>
      <c r="F16" s="259">
        <f ca="1">SUM(F14:F15)</f>
        <v>746.52741001863728</v>
      </c>
      <c r="G16" s="259">
        <f t="shared" ref="G16:J16" ca="1" si="3">SUM(G14:G15)</f>
        <v>938.45485381545029</v>
      </c>
      <c r="H16" s="259">
        <f t="shared" ca="1" si="3"/>
        <v>1124.1079843985781</v>
      </c>
      <c r="I16" s="259">
        <f t="shared" ca="1" si="3"/>
        <v>1333.114918814729</v>
      </c>
      <c r="J16" s="259">
        <f t="shared" ca="1" si="3"/>
        <v>1522.2701126741304</v>
      </c>
      <c r="L16" s="29" t="s">
        <v>151</v>
      </c>
      <c r="M16" s="265"/>
      <c r="N16" s="266">
        <f ca="1">N14/N15</f>
        <v>292.5296395409602</v>
      </c>
    </row>
    <row r="17" spans="2:15" ht="16.5" thickBot="1" x14ac:dyDescent="0.3">
      <c r="B17" s="22" t="s">
        <v>133</v>
      </c>
      <c r="F17" s="258">
        <f>-SUM(F12:F13)</f>
        <v>735.4342797184047</v>
      </c>
      <c r="G17" s="258">
        <f t="shared" ref="G17:J17" ca="1" si="4">-SUM(G12:G13)</f>
        <v>854.20722205489574</v>
      </c>
      <c r="H17" s="258">
        <f t="shared" ca="1" si="4"/>
        <v>950.88554492244646</v>
      </c>
      <c r="I17" s="258">
        <f t="shared" ca="1" si="4"/>
        <v>1053.2525428275285</v>
      </c>
      <c r="J17" s="258">
        <f t="shared" ca="1" si="4"/>
        <v>1128.2297569632533</v>
      </c>
      <c r="L17" s="267" t="s">
        <v>152</v>
      </c>
      <c r="M17" s="268"/>
      <c r="N17" s="342">
        <f ca="1">N16/Cover!$G$15-1</f>
        <v>0.46822746206063126</v>
      </c>
      <c r="O17" s="153"/>
    </row>
    <row r="18" spans="2:15" x14ac:dyDescent="0.25">
      <c r="B18" s="22" t="s">
        <v>134</v>
      </c>
      <c r="F18" s="262">
        <f>'Cash Flow Statement'!K15</f>
        <v>-468.80871186993761</v>
      </c>
      <c r="G18" s="262">
        <f ca="1">'Cash Flow Statement'!L15</f>
        <v>-544.52151400243145</v>
      </c>
      <c r="H18" s="262">
        <f ca="1">'Cash Flow Statement'!M15</f>
        <v>-606.14991678321655</v>
      </c>
      <c r="I18" s="262">
        <f ca="1">'Cash Flow Statement'!N15</f>
        <v>-671.40461288502138</v>
      </c>
      <c r="J18" s="262">
        <f ca="1">'Cash Flow Statement'!O15</f>
        <v>-719.19946301360699</v>
      </c>
    </row>
    <row r="19" spans="2:15" x14ac:dyDescent="0.25">
      <c r="B19" s="22" t="s">
        <v>135</v>
      </c>
      <c r="F19" s="262">
        <f ca="1">'Cash Flow Statement'!K11</f>
        <v>-234.40869017049226</v>
      </c>
      <c r="G19" s="262">
        <f ca="1">'Cash Flow Statement'!L11</f>
        <v>-324.46548857560128</v>
      </c>
      <c r="H19" s="262">
        <f ca="1">'Cash Flow Statement'!M11</f>
        <v>-286.97841374054224</v>
      </c>
      <c r="I19" s="262">
        <f ca="1">'Cash Flow Statement'!N11</f>
        <v>-299.65060538488979</v>
      </c>
      <c r="J19" s="262">
        <f ca="1">'Cash Flow Statement'!O11</f>
        <v>-235.45000963541952</v>
      </c>
    </row>
    <row r="20" spans="2:15" x14ac:dyDescent="0.25">
      <c r="B20" s="22" t="s">
        <v>320</v>
      </c>
      <c r="F20" s="262">
        <f ca="1">-DATEDIF(F3,Cover!G13,"D")/365*SUM(F16:F19)</f>
        <v>-552.58841236554122</v>
      </c>
      <c r="G20" s="262"/>
      <c r="H20" s="262"/>
      <c r="I20" s="262"/>
      <c r="J20" s="262"/>
    </row>
    <row r="21" spans="2:15" x14ac:dyDescent="0.25">
      <c r="B21" s="20" t="s">
        <v>136</v>
      </c>
      <c r="C21" s="21"/>
      <c r="D21" s="21"/>
      <c r="E21" s="21"/>
      <c r="F21" s="259">
        <f ca="1">SUM(F16:F20)</f>
        <v>226.15587533107089</v>
      </c>
      <c r="G21" s="259">
        <f t="shared" ref="G21:J21" ca="1" si="5">SUM(G16:G19)</f>
        <v>923.6750732923133</v>
      </c>
      <c r="H21" s="259">
        <f t="shared" ca="1" si="5"/>
        <v>1181.8651987972657</v>
      </c>
      <c r="I21" s="259">
        <f t="shared" ca="1" si="5"/>
        <v>1415.3122433723465</v>
      </c>
      <c r="J21" s="259">
        <f t="shared" ca="1" si="5"/>
        <v>1695.8503969883573</v>
      </c>
    </row>
    <row r="22" spans="2:15" x14ac:dyDescent="0.25">
      <c r="B22" s="22" t="s">
        <v>105</v>
      </c>
      <c r="F22" s="263">
        <f ca="1">WACC!$G$22</f>
        <v>8.7062197603059471E-2</v>
      </c>
      <c r="G22" s="263">
        <f ca="1">WACC!$G$22</f>
        <v>8.7062197603059471E-2</v>
      </c>
      <c r="H22" s="263">
        <f ca="1">WACC!$G$22</f>
        <v>8.7062197603059471E-2</v>
      </c>
      <c r="I22" s="263">
        <f ca="1">WACC!$G$22</f>
        <v>8.7062197603059471E-2</v>
      </c>
      <c r="J22" s="263">
        <f ca="1">WACC!$G$22</f>
        <v>8.7062197603059471E-2</v>
      </c>
    </row>
    <row r="23" spans="2:15" x14ac:dyDescent="0.25">
      <c r="B23" s="22" t="s">
        <v>137</v>
      </c>
      <c r="F23" s="254">
        <f ca="1">(1-DATEDIF(F3,Cover!$G$13,"D")/365)</f>
        <v>0.29041095890410962</v>
      </c>
      <c r="G23" s="254">
        <f ca="1">F23+1</f>
        <v>1.2904109589041095</v>
      </c>
      <c r="H23" s="254">
        <f t="shared" ref="H23:J23" ca="1" si="6">G23+1</f>
        <v>2.2904109589041095</v>
      </c>
      <c r="I23" s="254">
        <f t="shared" ca="1" si="6"/>
        <v>3.2904109589041095</v>
      </c>
      <c r="J23" s="254">
        <f t="shared" ca="1" si="6"/>
        <v>4.2904109589041095</v>
      </c>
    </row>
    <row r="24" spans="2:15" x14ac:dyDescent="0.25">
      <c r="B24" s="22" t="s">
        <v>138</v>
      </c>
      <c r="F24" s="254">
        <f ca="1">1/(1+F22)^F23</f>
        <v>0.97604833921702727</v>
      </c>
      <c r="G24" s="254">
        <f t="shared" ref="G24:J24" ca="1" si="7">1/(1+G22)^G23</f>
        <v>0.89787717884881435</v>
      </c>
      <c r="H24" s="254">
        <f t="shared" ca="1" si="7"/>
        <v>0.82596670257562765</v>
      </c>
      <c r="I24" s="254">
        <f t="shared" ca="1" si="7"/>
        <v>0.75981549574335316</v>
      </c>
      <c r="J24" s="254">
        <f t="shared" ca="1" si="7"/>
        <v>0.69896230171440443</v>
      </c>
    </row>
    <row r="25" spans="2:15" x14ac:dyDescent="0.25">
      <c r="B25" s="20" t="s">
        <v>139</v>
      </c>
      <c r="C25" s="21"/>
      <c r="D25" s="21"/>
      <c r="E25" s="21"/>
      <c r="F25" s="259">
        <f ca="1">F21*F24</f>
        <v>220.73906652106481</v>
      </c>
      <c r="G25" s="259">
        <f t="shared" ref="G25:J25" ca="1" si="8">G21*G24</f>
        <v>829.34676898067414</v>
      </c>
      <c r="H25" s="259">
        <f t="shared" ca="1" si="8"/>
        <v>976.1813011394662</v>
      </c>
      <c r="I25" s="259">
        <f t="shared" ca="1" si="8"/>
        <v>1075.3761738295968</v>
      </c>
      <c r="J25" s="259">
        <f t="shared" ca="1" si="8"/>
        <v>1185.3354968422686</v>
      </c>
    </row>
    <row r="26" spans="2:15" ht="16.5" thickBot="1" x14ac:dyDescent="0.3"/>
    <row r="27" spans="2:15" ht="16.5" thickBot="1" x14ac:dyDescent="0.3">
      <c r="B27" s="255" t="s">
        <v>140</v>
      </c>
      <c r="C27" s="256"/>
      <c r="D27" s="261">
        <f ca="1">SUM(F25:J25)</f>
        <v>4286.9788073130712</v>
      </c>
    </row>
  </sheetData>
  <mergeCells count="1">
    <mergeCell ref="L4:N4"/>
  </mergeCells>
  <pageMargins left="0.7" right="0.7" top="0.75" bottom="0.75" header="0.3" footer="0.3"/>
  <pageSetup orientation="portrait" r:id="rId1"/>
  <ignoredErrors>
    <ignoredError sqref="N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B18A-6D9C-4959-9167-997D8A2E935C}">
  <sheetPr>
    <tabColor theme="1"/>
  </sheetPr>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A22D9-2C96-467E-B8A9-63BB353E1549}">
  <dimension ref="A1:IV2"/>
  <sheetViews>
    <sheetView workbookViewId="0"/>
  </sheetViews>
  <sheetFormatPr defaultRowHeight="15" x14ac:dyDescent="0.25"/>
  <sheetData>
    <row r="1" spans="1:256" x14ac:dyDescent="0.25">
      <c r="A1">
        <v>476</v>
      </c>
      <c r="B1" t="s">
        <v>348</v>
      </c>
      <c r="C1" t="s">
        <v>349</v>
      </c>
      <c r="D1" t="s">
        <v>350</v>
      </c>
      <c r="E1" t="s">
        <v>351</v>
      </c>
      <c r="F1" t="s">
        <v>352</v>
      </c>
      <c r="G1" t="s">
        <v>353</v>
      </c>
      <c r="H1" t="s">
        <v>354</v>
      </c>
      <c r="I1" t="s">
        <v>355</v>
      </c>
      <c r="J1" t="s">
        <v>356</v>
      </c>
      <c r="K1" t="s">
        <v>357</v>
      </c>
      <c r="L1" t="s">
        <v>358</v>
      </c>
      <c r="M1" t="s">
        <v>359</v>
      </c>
      <c r="N1" t="s">
        <v>360</v>
      </c>
      <c r="O1" t="s">
        <v>361</v>
      </c>
      <c r="P1" t="s">
        <v>362</v>
      </c>
      <c r="Q1" t="s">
        <v>363</v>
      </c>
      <c r="R1" t="s">
        <v>364</v>
      </c>
      <c r="S1" t="s">
        <v>365</v>
      </c>
      <c r="T1" t="s">
        <v>366</v>
      </c>
      <c r="U1" t="s">
        <v>367</v>
      </c>
      <c r="V1" t="s">
        <v>368</v>
      </c>
      <c r="W1" t="s">
        <v>369</v>
      </c>
      <c r="X1" t="s">
        <v>370</v>
      </c>
      <c r="Y1" t="s">
        <v>371</v>
      </c>
      <c r="Z1" t="s">
        <v>372</v>
      </c>
      <c r="AA1" t="s">
        <v>373</v>
      </c>
      <c r="AB1" t="s">
        <v>374</v>
      </c>
      <c r="AC1" t="s">
        <v>375</v>
      </c>
      <c r="AD1" t="s">
        <v>376</v>
      </c>
      <c r="AE1" t="s">
        <v>377</v>
      </c>
      <c r="AF1" t="s">
        <v>378</v>
      </c>
      <c r="AG1" t="s">
        <v>379</v>
      </c>
      <c r="AH1" t="s">
        <v>380</v>
      </c>
      <c r="AI1" t="s">
        <v>381</v>
      </c>
      <c r="AJ1" t="s">
        <v>382</v>
      </c>
      <c r="AK1" t="s">
        <v>383</v>
      </c>
      <c r="AL1" t="s">
        <v>384</v>
      </c>
      <c r="AM1" t="s">
        <v>385</v>
      </c>
      <c r="AN1" t="s">
        <v>386</v>
      </c>
      <c r="AO1" t="s">
        <v>387</v>
      </c>
      <c r="AP1" t="s">
        <v>388</v>
      </c>
      <c r="AQ1" t="s">
        <v>389</v>
      </c>
      <c r="AR1" t="s">
        <v>390</v>
      </c>
      <c r="AS1" t="s">
        <v>391</v>
      </c>
      <c r="AT1" t="s">
        <v>392</v>
      </c>
      <c r="AU1" t="s">
        <v>393</v>
      </c>
      <c r="AV1" t="s">
        <v>394</v>
      </c>
      <c r="AW1" t="s">
        <v>395</v>
      </c>
      <c r="AX1" t="s">
        <v>396</v>
      </c>
      <c r="AY1" t="s">
        <v>397</v>
      </c>
      <c r="AZ1" t="s">
        <v>398</v>
      </c>
      <c r="BA1" t="s">
        <v>399</v>
      </c>
      <c r="BB1" t="s">
        <v>400</v>
      </c>
      <c r="BC1" t="s">
        <v>401</v>
      </c>
      <c r="BD1" t="s">
        <v>402</v>
      </c>
      <c r="BE1" t="s">
        <v>403</v>
      </c>
      <c r="BF1" t="s">
        <v>404</v>
      </c>
      <c r="BG1" t="s">
        <v>405</v>
      </c>
      <c r="BH1" t="s">
        <v>406</v>
      </c>
      <c r="BI1" t="s">
        <v>407</v>
      </c>
      <c r="BJ1" t="s">
        <v>408</v>
      </c>
      <c r="BK1" t="s">
        <v>409</v>
      </c>
      <c r="BL1" t="s">
        <v>410</v>
      </c>
      <c r="BM1" t="s">
        <v>411</v>
      </c>
      <c r="BN1" t="s">
        <v>412</v>
      </c>
      <c r="BO1" t="s">
        <v>413</v>
      </c>
      <c r="BP1" t="s">
        <v>414</v>
      </c>
      <c r="BQ1" t="s">
        <v>415</v>
      </c>
      <c r="BR1" t="s">
        <v>416</v>
      </c>
      <c r="BS1" t="s">
        <v>417</v>
      </c>
      <c r="BT1" t="s">
        <v>418</v>
      </c>
      <c r="BU1" t="s">
        <v>419</v>
      </c>
      <c r="BV1" t="s">
        <v>420</v>
      </c>
      <c r="BW1" t="s">
        <v>421</v>
      </c>
      <c r="BX1" t="s">
        <v>422</v>
      </c>
      <c r="BY1" t="s">
        <v>423</v>
      </c>
      <c r="BZ1" t="s">
        <v>424</v>
      </c>
      <c r="CA1" t="s">
        <v>425</v>
      </c>
      <c r="CB1" t="s">
        <v>426</v>
      </c>
      <c r="CC1" t="s">
        <v>427</v>
      </c>
      <c r="CD1" t="s">
        <v>428</v>
      </c>
      <c r="CE1" t="s">
        <v>429</v>
      </c>
      <c r="CF1" t="s">
        <v>430</v>
      </c>
      <c r="CG1" t="s">
        <v>431</v>
      </c>
      <c r="CH1" t="s">
        <v>432</v>
      </c>
      <c r="CI1" t="s">
        <v>433</v>
      </c>
      <c r="CJ1" t="s">
        <v>434</v>
      </c>
      <c r="CK1" t="s">
        <v>435</v>
      </c>
      <c r="CL1" t="s">
        <v>436</v>
      </c>
      <c r="CM1" t="s">
        <v>437</v>
      </c>
      <c r="CN1" t="s">
        <v>438</v>
      </c>
      <c r="CO1" t="s">
        <v>439</v>
      </c>
      <c r="CP1" t="s">
        <v>440</v>
      </c>
      <c r="CQ1" t="s">
        <v>441</v>
      </c>
      <c r="CR1" t="s">
        <v>442</v>
      </c>
      <c r="CS1" t="s">
        <v>443</v>
      </c>
      <c r="CT1" t="s">
        <v>444</v>
      </c>
      <c r="CU1" t="s">
        <v>445</v>
      </c>
      <c r="CV1" t="s">
        <v>446</v>
      </c>
      <c r="CW1" t="s">
        <v>447</v>
      </c>
      <c r="CX1" t="s">
        <v>448</v>
      </c>
      <c r="CY1" t="s">
        <v>449</v>
      </c>
      <c r="CZ1" t="s">
        <v>450</v>
      </c>
      <c r="DA1" t="s">
        <v>451</v>
      </c>
      <c r="DB1" t="s">
        <v>452</v>
      </c>
      <c r="DC1" t="s">
        <v>453</v>
      </c>
      <c r="DD1" t="s">
        <v>454</v>
      </c>
      <c r="DE1" t="s">
        <v>455</v>
      </c>
      <c r="DF1" t="s">
        <v>456</v>
      </c>
      <c r="DG1" t="s">
        <v>457</v>
      </c>
      <c r="DH1" t="s">
        <v>458</v>
      </c>
      <c r="DI1" t="s">
        <v>459</v>
      </c>
      <c r="DJ1" t="s">
        <v>460</v>
      </c>
      <c r="DK1" t="s">
        <v>461</v>
      </c>
      <c r="DL1" t="s">
        <v>462</v>
      </c>
      <c r="DM1" t="s">
        <v>463</v>
      </c>
      <c r="DN1" t="s">
        <v>464</v>
      </c>
      <c r="DO1" t="s">
        <v>465</v>
      </c>
      <c r="DP1" t="s">
        <v>466</v>
      </c>
      <c r="DQ1" t="s">
        <v>467</v>
      </c>
      <c r="DR1" t="s">
        <v>468</v>
      </c>
      <c r="DS1" t="s">
        <v>469</v>
      </c>
      <c r="DT1" t="s">
        <v>470</v>
      </c>
      <c r="DU1" t="s">
        <v>471</v>
      </c>
      <c r="DV1" t="s">
        <v>472</v>
      </c>
      <c r="DW1" t="s">
        <v>473</v>
      </c>
      <c r="DX1" t="s">
        <v>474</v>
      </c>
      <c r="DY1" t="s">
        <v>475</v>
      </c>
      <c r="DZ1" t="s">
        <v>476</v>
      </c>
      <c r="EA1" t="s">
        <v>477</v>
      </c>
      <c r="EB1" t="s">
        <v>478</v>
      </c>
      <c r="EC1" t="s">
        <v>479</v>
      </c>
      <c r="ED1" t="s">
        <v>480</v>
      </c>
      <c r="EE1" t="s">
        <v>481</v>
      </c>
      <c r="EF1" t="s">
        <v>482</v>
      </c>
      <c r="EG1" t="s">
        <v>483</v>
      </c>
      <c r="EH1" t="s">
        <v>484</v>
      </c>
      <c r="EI1" t="s">
        <v>485</v>
      </c>
      <c r="EJ1" t="s">
        <v>486</v>
      </c>
      <c r="EK1" t="s">
        <v>487</v>
      </c>
      <c r="EL1" t="s">
        <v>488</v>
      </c>
      <c r="EM1" t="s">
        <v>489</v>
      </c>
      <c r="EN1" t="s">
        <v>490</v>
      </c>
      <c r="EO1" t="s">
        <v>491</v>
      </c>
      <c r="EP1" t="s">
        <v>492</v>
      </c>
      <c r="EQ1" t="s">
        <v>493</v>
      </c>
      <c r="ER1" t="s">
        <v>494</v>
      </c>
      <c r="ES1" t="s">
        <v>495</v>
      </c>
      <c r="ET1" t="s">
        <v>496</v>
      </c>
      <c r="EU1" t="s">
        <v>497</v>
      </c>
      <c r="EV1" t="s">
        <v>498</v>
      </c>
      <c r="EW1" t="s">
        <v>499</v>
      </c>
      <c r="EX1" t="s">
        <v>500</v>
      </c>
      <c r="EY1" t="s">
        <v>501</v>
      </c>
      <c r="EZ1" t="s">
        <v>502</v>
      </c>
      <c r="FA1" t="s">
        <v>503</v>
      </c>
      <c r="FB1" t="s">
        <v>504</v>
      </c>
      <c r="FC1" t="s">
        <v>505</v>
      </c>
      <c r="FD1" t="s">
        <v>506</v>
      </c>
      <c r="FE1" t="s">
        <v>507</v>
      </c>
      <c r="FF1" t="s">
        <v>508</v>
      </c>
      <c r="FG1" t="s">
        <v>509</v>
      </c>
      <c r="FH1" t="s">
        <v>510</v>
      </c>
      <c r="FI1" t="s">
        <v>511</v>
      </c>
      <c r="FJ1" t="s">
        <v>512</v>
      </c>
      <c r="FK1" t="s">
        <v>513</v>
      </c>
      <c r="FL1" t="s">
        <v>514</v>
      </c>
      <c r="FM1" t="s">
        <v>515</v>
      </c>
      <c r="FN1" t="s">
        <v>516</v>
      </c>
      <c r="FO1" t="s">
        <v>517</v>
      </c>
      <c r="FP1" t="s">
        <v>518</v>
      </c>
      <c r="FQ1" t="s">
        <v>519</v>
      </c>
      <c r="FR1" t="s">
        <v>520</v>
      </c>
      <c r="FS1" t="s">
        <v>521</v>
      </c>
      <c r="FT1" t="s">
        <v>522</v>
      </c>
      <c r="FU1" t="s">
        <v>523</v>
      </c>
      <c r="FV1" t="s">
        <v>524</v>
      </c>
      <c r="FW1" t="s">
        <v>525</v>
      </c>
      <c r="FX1" t="s">
        <v>526</v>
      </c>
      <c r="FY1" t="s">
        <v>527</v>
      </c>
      <c r="FZ1" t="s">
        <v>528</v>
      </c>
      <c r="GA1" t="s">
        <v>529</v>
      </c>
      <c r="GB1" t="s">
        <v>530</v>
      </c>
      <c r="GC1" t="s">
        <v>531</v>
      </c>
      <c r="GD1" t="s">
        <v>532</v>
      </c>
      <c r="GE1" t="s">
        <v>533</v>
      </c>
      <c r="GF1" t="s">
        <v>534</v>
      </c>
      <c r="GG1" t="s">
        <v>535</v>
      </c>
      <c r="GH1" t="s">
        <v>536</v>
      </c>
      <c r="GI1" t="s">
        <v>537</v>
      </c>
      <c r="GJ1" t="s">
        <v>538</v>
      </c>
      <c r="GK1" t="s">
        <v>539</v>
      </c>
      <c r="GL1" t="s">
        <v>540</v>
      </c>
      <c r="GM1" t="s">
        <v>541</v>
      </c>
      <c r="GN1" t="s">
        <v>542</v>
      </c>
      <c r="GO1" t="s">
        <v>543</v>
      </c>
      <c r="GP1" t="s">
        <v>544</v>
      </c>
      <c r="GQ1" t="s">
        <v>545</v>
      </c>
      <c r="GR1" t="s">
        <v>546</v>
      </c>
      <c r="GS1" t="s">
        <v>547</v>
      </c>
      <c r="GT1" t="s">
        <v>548</v>
      </c>
      <c r="GU1" t="s">
        <v>549</v>
      </c>
      <c r="GV1" t="s">
        <v>550</v>
      </c>
      <c r="GW1" t="s">
        <v>551</v>
      </c>
      <c r="GX1" t="s">
        <v>552</v>
      </c>
      <c r="GY1" t="s">
        <v>553</v>
      </c>
      <c r="GZ1" t="s">
        <v>554</v>
      </c>
      <c r="HA1" t="s">
        <v>555</v>
      </c>
      <c r="HB1" t="s">
        <v>556</v>
      </c>
      <c r="HC1" t="s">
        <v>557</v>
      </c>
      <c r="HD1" t="s">
        <v>558</v>
      </c>
      <c r="HE1" t="s">
        <v>559</v>
      </c>
      <c r="HF1" t="s">
        <v>560</v>
      </c>
      <c r="HG1" t="s">
        <v>561</v>
      </c>
      <c r="HH1" t="s">
        <v>562</v>
      </c>
      <c r="HI1" t="s">
        <v>563</v>
      </c>
      <c r="HJ1" t="s">
        <v>564</v>
      </c>
      <c r="HK1" t="s">
        <v>565</v>
      </c>
      <c r="HL1" t="s">
        <v>566</v>
      </c>
      <c r="HM1" t="s">
        <v>567</v>
      </c>
      <c r="HN1" t="s">
        <v>568</v>
      </c>
      <c r="HO1" t="s">
        <v>569</v>
      </c>
      <c r="HP1" t="s">
        <v>570</v>
      </c>
      <c r="HQ1" t="s">
        <v>571</v>
      </c>
      <c r="HR1" t="s">
        <v>572</v>
      </c>
      <c r="HS1" t="s">
        <v>573</v>
      </c>
      <c r="HT1" t="s">
        <v>574</v>
      </c>
      <c r="HU1" t="s">
        <v>575</v>
      </c>
      <c r="HV1" t="s">
        <v>576</v>
      </c>
      <c r="HW1" t="s">
        <v>577</v>
      </c>
      <c r="HX1" t="s">
        <v>578</v>
      </c>
      <c r="HY1" t="s">
        <v>579</v>
      </c>
      <c r="HZ1" t="s">
        <v>580</v>
      </c>
      <c r="IA1" t="s">
        <v>581</v>
      </c>
      <c r="IB1" t="s">
        <v>582</v>
      </c>
      <c r="IC1" t="s">
        <v>583</v>
      </c>
      <c r="ID1" t="s">
        <v>584</v>
      </c>
      <c r="IE1" t="s">
        <v>585</v>
      </c>
      <c r="IF1" t="s">
        <v>586</v>
      </c>
      <c r="IG1" t="s">
        <v>587</v>
      </c>
      <c r="IH1" t="s">
        <v>588</v>
      </c>
      <c r="II1" t="s">
        <v>589</v>
      </c>
      <c r="IJ1" t="s">
        <v>590</v>
      </c>
      <c r="IK1" t="s">
        <v>591</v>
      </c>
      <c r="IL1" t="s">
        <v>592</v>
      </c>
      <c r="IM1" t="s">
        <v>593</v>
      </c>
      <c r="IN1" t="s">
        <v>594</v>
      </c>
      <c r="IO1" t="s">
        <v>595</v>
      </c>
      <c r="IP1" t="s">
        <v>596</v>
      </c>
      <c r="IQ1" t="s">
        <v>597</v>
      </c>
      <c r="IR1" t="s">
        <v>598</v>
      </c>
      <c r="IS1" t="s">
        <v>599</v>
      </c>
      <c r="IT1" t="s">
        <v>600</v>
      </c>
      <c r="IU1" t="s">
        <v>601</v>
      </c>
      <c r="IV1" t="s">
        <v>602</v>
      </c>
    </row>
    <row r="2" spans="1:256" x14ac:dyDescent="0.25">
      <c r="A2" t="s">
        <v>603</v>
      </c>
      <c r="B2" t="s">
        <v>604</v>
      </c>
      <c r="C2" t="s">
        <v>605</v>
      </c>
      <c r="D2" t="s">
        <v>606</v>
      </c>
      <c r="E2" t="s">
        <v>607</v>
      </c>
      <c r="F2" t="s">
        <v>608</v>
      </c>
      <c r="G2" t="s">
        <v>609</v>
      </c>
      <c r="H2" t="s">
        <v>610</v>
      </c>
      <c r="I2" t="s">
        <v>611</v>
      </c>
      <c r="J2" t="s">
        <v>612</v>
      </c>
      <c r="K2" t="s">
        <v>613</v>
      </c>
      <c r="L2" t="s">
        <v>614</v>
      </c>
      <c r="M2" t="s">
        <v>615</v>
      </c>
      <c r="N2" t="s">
        <v>616</v>
      </c>
      <c r="O2" t="s">
        <v>617</v>
      </c>
      <c r="P2" t="s">
        <v>618</v>
      </c>
      <c r="Q2" t="s">
        <v>619</v>
      </c>
      <c r="R2" t="s">
        <v>620</v>
      </c>
      <c r="S2" t="s">
        <v>621</v>
      </c>
      <c r="T2" t="s">
        <v>622</v>
      </c>
      <c r="U2" t="s">
        <v>623</v>
      </c>
      <c r="V2" t="s">
        <v>624</v>
      </c>
      <c r="W2" t="s">
        <v>625</v>
      </c>
      <c r="X2" t="s">
        <v>626</v>
      </c>
      <c r="Y2" t="s">
        <v>627</v>
      </c>
      <c r="Z2" t="s">
        <v>628</v>
      </c>
      <c r="AA2" t="s">
        <v>629</v>
      </c>
      <c r="AB2" t="s">
        <v>630</v>
      </c>
      <c r="AC2" t="s">
        <v>631</v>
      </c>
      <c r="AD2" t="s">
        <v>632</v>
      </c>
      <c r="AE2" t="s">
        <v>633</v>
      </c>
      <c r="AF2" t="s">
        <v>634</v>
      </c>
      <c r="AG2" t="s">
        <v>635</v>
      </c>
      <c r="AH2" t="s">
        <v>636</v>
      </c>
      <c r="AI2" t="s">
        <v>637</v>
      </c>
      <c r="AJ2" t="s">
        <v>638</v>
      </c>
      <c r="AK2" t="s">
        <v>639</v>
      </c>
      <c r="AL2" t="s">
        <v>640</v>
      </c>
      <c r="AM2" t="s">
        <v>641</v>
      </c>
      <c r="AN2" t="s">
        <v>642</v>
      </c>
      <c r="AO2" t="s">
        <v>643</v>
      </c>
      <c r="AP2" t="s">
        <v>644</v>
      </c>
      <c r="AQ2" t="s">
        <v>645</v>
      </c>
      <c r="AR2" t="s">
        <v>646</v>
      </c>
      <c r="AS2" t="s">
        <v>647</v>
      </c>
      <c r="AT2" t="s">
        <v>648</v>
      </c>
      <c r="AU2" t="s">
        <v>649</v>
      </c>
      <c r="AV2" t="s">
        <v>650</v>
      </c>
      <c r="AW2" t="s">
        <v>651</v>
      </c>
      <c r="AX2" t="s">
        <v>652</v>
      </c>
      <c r="AY2" t="s">
        <v>653</v>
      </c>
      <c r="AZ2" t="s">
        <v>654</v>
      </c>
      <c r="BA2" t="s">
        <v>655</v>
      </c>
      <c r="BB2" t="s">
        <v>656</v>
      </c>
      <c r="BC2" t="s">
        <v>657</v>
      </c>
      <c r="BD2" t="s">
        <v>658</v>
      </c>
      <c r="BE2" t="s">
        <v>659</v>
      </c>
      <c r="BF2" t="s">
        <v>660</v>
      </c>
      <c r="BG2" t="s">
        <v>661</v>
      </c>
      <c r="BH2" t="s">
        <v>662</v>
      </c>
      <c r="BI2" t="s">
        <v>663</v>
      </c>
      <c r="BJ2" t="s">
        <v>664</v>
      </c>
      <c r="BK2" t="s">
        <v>665</v>
      </c>
      <c r="BL2" t="s">
        <v>666</v>
      </c>
      <c r="BM2" t="s">
        <v>667</v>
      </c>
      <c r="BN2" t="s">
        <v>668</v>
      </c>
      <c r="BO2" t="s">
        <v>669</v>
      </c>
      <c r="BP2" t="s">
        <v>670</v>
      </c>
      <c r="BQ2" t="s">
        <v>671</v>
      </c>
      <c r="BR2" t="s">
        <v>672</v>
      </c>
      <c r="BS2" t="s">
        <v>673</v>
      </c>
      <c r="BT2" t="s">
        <v>674</v>
      </c>
      <c r="BU2" t="s">
        <v>675</v>
      </c>
      <c r="BV2" t="s">
        <v>676</v>
      </c>
      <c r="BW2" t="s">
        <v>677</v>
      </c>
      <c r="BX2" t="s">
        <v>678</v>
      </c>
      <c r="BY2" t="s">
        <v>679</v>
      </c>
      <c r="BZ2" t="s">
        <v>680</v>
      </c>
      <c r="CA2" t="s">
        <v>681</v>
      </c>
      <c r="CB2" t="s">
        <v>682</v>
      </c>
      <c r="CC2" t="s">
        <v>683</v>
      </c>
      <c r="CD2" t="s">
        <v>684</v>
      </c>
      <c r="CE2" t="s">
        <v>685</v>
      </c>
      <c r="CF2" t="s">
        <v>686</v>
      </c>
      <c r="CG2" t="s">
        <v>687</v>
      </c>
      <c r="CH2" t="s">
        <v>688</v>
      </c>
      <c r="CI2" t="s">
        <v>689</v>
      </c>
      <c r="CJ2" t="s">
        <v>690</v>
      </c>
      <c r="CK2" t="s">
        <v>691</v>
      </c>
      <c r="CL2" t="s">
        <v>692</v>
      </c>
      <c r="CM2" t="s">
        <v>693</v>
      </c>
      <c r="CN2" t="s">
        <v>694</v>
      </c>
      <c r="CO2" t="s">
        <v>695</v>
      </c>
      <c r="CP2" t="s">
        <v>696</v>
      </c>
      <c r="CQ2" t="s">
        <v>697</v>
      </c>
      <c r="CR2" t="s">
        <v>698</v>
      </c>
      <c r="CS2" t="s">
        <v>699</v>
      </c>
      <c r="CT2" t="s">
        <v>700</v>
      </c>
      <c r="CU2" t="s">
        <v>701</v>
      </c>
      <c r="CV2" t="s">
        <v>702</v>
      </c>
      <c r="CW2" t="s">
        <v>703</v>
      </c>
      <c r="CX2" t="s">
        <v>704</v>
      </c>
      <c r="CY2" t="s">
        <v>705</v>
      </c>
      <c r="CZ2" t="s">
        <v>706</v>
      </c>
      <c r="DA2" t="s">
        <v>707</v>
      </c>
      <c r="DB2" t="s">
        <v>708</v>
      </c>
      <c r="DC2" t="s">
        <v>709</v>
      </c>
      <c r="DD2" t="s">
        <v>710</v>
      </c>
      <c r="DE2" t="s">
        <v>711</v>
      </c>
      <c r="DF2" t="s">
        <v>712</v>
      </c>
      <c r="DG2" t="s">
        <v>713</v>
      </c>
      <c r="DH2" t="s">
        <v>714</v>
      </c>
      <c r="DI2" t="s">
        <v>715</v>
      </c>
      <c r="DJ2" t="s">
        <v>716</v>
      </c>
      <c r="DK2" t="s">
        <v>717</v>
      </c>
      <c r="DL2" t="s">
        <v>718</v>
      </c>
      <c r="DM2" t="s">
        <v>719</v>
      </c>
      <c r="DN2" t="s">
        <v>720</v>
      </c>
      <c r="DO2" t="s">
        <v>721</v>
      </c>
      <c r="DP2" t="s">
        <v>722</v>
      </c>
      <c r="DQ2" t="s">
        <v>723</v>
      </c>
      <c r="DR2" t="s">
        <v>724</v>
      </c>
      <c r="DS2" t="s">
        <v>725</v>
      </c>
      <c r="DT2" t="s">
        <v>726</v>
      </c>
      <c r="DU2" t="s">
        <v>727</v>
      </c>
      <c r="DV2" t="s">
        <v>728</v>
      </c>
      <c r="DW2" t="s">
        <v>729</v>
      </c>
      <c r="DX2" t="s">
        <v>730</v>
      </c>
      <c r="DY2" t="s">
        <v>731</v>
      </c>
      <c r="DZ2" t="s">
        <v>732</v>
      </c>
      <c r="EA2" t="s">
        <v>733</v>
      </c>
      <c r="EB2" t="s">
        <v>734</v>
      </c>
      <c r="EC2" t="s">
        <v>735</v>
      </c>
      <c r="ED2" t="s">
        <v>736</v>
      </c>
      <c r="EE2" t="s">
        <v>737</v>
      </c>
      <c r="EF2" t="s">
        <v>738</v>
      </c>
      <c r="EG2" t="s">
        <v>739</v>
      </c>
      <c r="EH2" t="s">
        <v>740</v>
      </c>
      <c r="EI2" t="s">
        <v>741</v>
      </c>
      <c r="EJ2" t="s">
        <v>742</v>
      </c>
      <c r="EK2" t="s">
        <v>743</v>
      </c>
      <c r="EL2" t="s">
        <v>744</v>
      </c>
      <c r="EM2" t="s">
        <v>745</v>
      </c>
      <c r="EN2" t="s">
        <v>746</v>
      </c>
      <c r="EO2" t="s">
        <v>747</v>
      </c>
      <c r="EP2" t="s">
        <v>748</v>
      </c>
      <c r="EQ2" t="s">
        <v>749</v>
      </c>
      <c r="ER2" t="s">
        <v>750</v>
      </c>
      <c r="ES2" t="s">
        <v>751</v>
      </c>
      <c r="ET2" t="s">
        <v>752</v>
      </c>
      <c r="EU2" t="s">
        <v>753</v>
      </c>
      <c r="EV2" t="s">
        <v>754</v>
      </c>
      <c r="EW2" t="s">
        <v>755</v>
      </c>
      <c r="EX2" t="s">
        <v>756</v>
      </c>
      <c r="EY2" t="s">
        <v>757</v>
      </c>
      <c r="EZ2" t="s">
        <v>758</v>
      </c>
      <c r="FA2" t="s">
        <v>759</v>
      </c>
      <c r="FB2" t="s">
        <v>760</v>
      </c>
      <c r="FC2" t="s">
        <v>761</v>
      </c>
      <c r="FD2" t="s">
        <v>762</v>
      </c>
      <c r="FE2" t="s">
        <v>763</v>
      </c>
      <c r="FF2" t="s">
        <v>764</v>
      </c>
      <c r="FG2" t="s">
        <v>765</v>
      </c>
      <c r="FH2" t="s">
        <v>766</v>
      </c>
      <c r="FI2" t="s">
        <v>767</v>
      </c>
      <c r="FJ2" t="s">
        <v>768</v>
      </c>
      <c r="FK2" t="s">
        <v>769</v>
      </c>
      <c r="FL2" t="s">
        <v>770</v>
      </c>
      <c r="FM2" t="s">
        <v>771</v>
      </c>
      <c r="FN2" t="s">
        <v>772</v>
      </c>
      <c r="FO2" t="s">
        <v>773</v>
      </c>
      <c r="FP2" t="s">
        <v>774</v>
      </c>
      <c r="FQ2" t="s">
        <v>775</v>
      </c>
      <c r="FR2" t="s">
        <v>776</v>
      </c>
      <c r="FS2" t="s">
        <v>777</v>
      </c>
      <c r="FT2" t="s">
        <v>778</v>
      </c>
      <c r="FU2" t="s">
        <v>779</v>
      </c>
      <c r="FV2" t="s">
        <v>780</v>
      </c>
      <c r="FW2" t="s">
        <v>781</v>
      </c>
      <c r="FX2" t="s">
        <v>782</v>
      </c>
      <c r="FY2" t="s">
        <v>783</v>
      </c>
      <c r="FZ2" t="s">
        <v>784</v>
      </c>
      <c r="GA2" t="s">
        <v>785</v>
      </c>
      <c r="GB2" t="s">
        <v>786</v>
      </c>
      <c r="GC2" t="s">
        <v>787</v>
      </c>
      <c r="GD2" t="s">
        <v>788</v>
      </c>
      <c r="GE2" t="s">
        <v>789</v>
      </c>
      <c r="GF2" t="s">
        <v>790</v>
      </c>
      <c r="GG2" t="s">
        <v>791</v>
      </c>
      <c r="GH2" t="s">
        <v>792</v>
      </c>
      <c r="GI2" t="s">
        <v>793</v>
      </c>
      <c r="GJ2" t="s">
        <v>794</v>
      </c>
      <c r="GK2" t="s">
        <v>795</v>
      </c>
      <c r="GL2" t="s">
        <v>796</v>
      </c>
      <c r="GM2" t="s">
        <v>797</v>
      </c>
      <c r="GN2" t="s">
        <v>798</v>
      </c>
      <c r="GO2" t="s">
        <v>799</v>
      </c>
      <c r="GP2" t="s">
        <v>800</v>
      </c>
      <c r="GQ2" t="s">
        <v>801</v>
      </c>
      <c r="GR2" t="s">
        <v>802</v>
      </c>
      <c r="GS2" t="s">
        <v>803</v>
      </c>
      <c r="GT2" t="s">
        <v>804</v>
      </c>
      <c r="GU2" t="s">
        <v>805</v>
      </c>
      <c r="GV2" t="s">
        <v>806</v>
      </c>
      <c r="GW2" t="s">
        <v>807</v>
      </c>
      <c r="GX2" t="s">
        <v>808</v>
      </c>
      <c r="GY2" t="s">
        <v>809</v>
      </c>
      <c r="GZ2" t="s">
        <v>810</v>
      </c>
      <c r="HA2" t="s">
        <v>811</v>
      </c>
      <c r="HB2" t="s">
        <v>812</v>
      </c>
      <c r="HC2" t="s">
        <v>813</v>
      </c>
      <c r="HD2" t="s">
        <v>814</v>
      </c>
      <c r="HE2" t="s">
        <v>815</v>
      </c>
      <c r="HF2" t="s">
        <v>816</v>
      </c>
      <c r="HG2" t="s">
        <v>817</v>
      </c>
      <c r="HH2" t="s">
        <v>818</v>
      </c>
      <c r="HI2" t="s">
        <v>819</v>
      </c>
      <c r="HJ2" t="s">
        <v>820</v>
      </c>
      <c r="HK2" t="s">
        <v>821</v>
      </c>
      <c r="HL2" t="s">
        <v>822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2B1C6-9434-4629-B746-9B6BB85196A7}">
  <sheetPr>
    <tabColor theme="1"/>
  </sheetPr>
  <dimension ref="A1"/>
  <sheetViews>
    <sheetView showGridLines="0"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2A2DA-D4CE-49AF-9653-38473AC25D19}">
  <sheetPr>
    <tabColor rgb="FF00B0F0"/>
  </sheetPr>
  <dimension ref="B2:N14"/>
  <sheetViews>
    <sheetView showGridLines="0" tabSelected="1" zoomScale="85" zoomScaleNormal="85" workbookViewId="0">
      <selection activeCell="L28" sqref="L28"/>
    </sheetView>
  </sheetViews>
  <sheetFormatPr defaultRowHeight="15.75" x14ac:dyDescent="0.25"/>
  <cols>
    <col min="1" max="1" width="2.7109375" style="6" customWidth="1"/>
    <col min="2" max="2" width="25.7109375" style="6" customWidth="1"/>
    <col min="3" max="3" width="31.28515625" style="6" customWidth="1"/>
    <col min="4" max="13" width="15.7109375" style="6" customWidth="1"/>
    <col min="14" max="14" width="12.42578125" style="6" customWidth="1"/>
    <col min="15" max="16384" width="9.140625" style="6"/>
  </cols>
  <sheetData>
    <row r="2" spans="2:14" x14ac:dyDescent="0.25">
      <c r="B2" s="387" t="s">
        <v>327</v>
      </c>
      <c r="C2" s="387"/>
    </row>
    <row r="3" spans="2:14" x14ac:dyDescent="0.25">
      <c r="B3" s="387"/>
      <c r="C3" s="387"/>
    </row>
    <row r="4" spans="2:14" s="7" customFormat="1" x14ac:dyDescent="0.25">
      <c r="B4" s="406" t="s">
        <v>240</v>
      </c>
      <c r="C4" s="407"/>
      <c r="D4" s="407"/>
      <c r="E4" s="407"/>
      <c r="F4" s="407"/>
      <c r="G4" s="407"/>
      <c r="H4" s="407"/>
      <c r="I4" s="407"/>
      <c r="J4" s="407"/>
      <c r="K4" s="407"/>
      <c r="L4" s="407"/>
      <c r="M4" s="408"/>
    </row>
    <row r="5" spans="2:14" x14ac:dyDescent="0.25">
      <c r="B5" s="409" t="s">
        <v>110</v>
      </c>
      <c r="C5" s="410" t="s">
        <v>328</v>
      </c>
      <c r="D5" s="411">
        <v>41639</v>
      </c>
      <c r="E5" s="411">
        <v>42004</v>
      </c>
      <c r="F5" s="411">
        <v>42369</v>
      </c>
      <c r="G5" s="411">
        <f>F5+365</f>
        <v>42734</v>
      </c>
      <c r="H5" s="411">
        <f>G5+366</f>
        <v>43100</v>
      </c>
      <c r="I5" s="411">
        <f t="shared" ref="I5:J5" si="0">H5+365</f>
        <v>43465</v>
      </c>
      <c r="J5" s="411">
        <f t="shared" si="0"/>
        <v>43830</v>
      </c>
      <c r="K5" s="411">
        <f>J5+366</f>
        <v>44196</v>
      </c>
      <c r="L5" s="411">
        <f>K5+365</f>
        <v>44561</v>
      </c>
      <c r="M5" s="412">
        <f t="shared" ref="M5" si="1">L5+365</f>
        <v>44926</v>
      </c>
      <c r="N5" s="388"/>
    </row>
    <row r="6" spans="2:14" x14ac:dyDescent="0.25">
      <c r="B6" s="389" t="s">
        <v>340</v>
      </c>
      <c r="C6" s="6" t="str">
        <f>_xll.ciqfunctions.udf.CIQ(B6, "IQ_COMPANY_NAME")</f>
        <v>MasTec, Inc.</v>
      </c>
      <c r="D6" s="390">
        <f>_xll.ciqfunctions.udf.CIQ($B6, "IQ_CURRENT_RATIO", IQ_FY, D$5, , , "USD")</f>
        <v>1.5762</v>
      </c>
      <c r="E6" s="390">
        <f>_xll.ciqfunctions.udf.CIQ($B6, "IQ_CURRENT_RATIO", IQ_FY, E$5, , , "USD")</f>
        <v>1.56166</v>
      </c>
      <c r="F6" s="390">
        <f>_xll.ciqfunctions.udf.CIQ($B6, "IQ_CURRENT_RATIO", IQ_FY, F$5, , , "USD")</f>
        <v>1.5012700000000001</v>
      </c>
      <c r="G6" s="390">
        <f>_xll.ciqfunctions.udf.CIQ($B6, "IQ_CURRENT_RATIO", IQ_FY, G$5, , , "USD")</f>
        <v>1.5012700000000001</v>
      </c>
      <c r="H6" s="390">
        <f>_xll.ciqfunctions.udf.CIQ($B6, "IQ_CURRENT_RATIO", IQ_FY, H$5, , , "USD")</f>
        <v>1.9218900000000001</v>
      </c>
      <c r="I6" s="390">
        <f>_xll.ciqfunctions.udf.CIQ($B6, "IQ_CURRENT_RATIO", IQ_FY, I$5, , , "USD")</f>
        <v>1.6897599999999999</v>
      </c>
      <c r="J6" s="390">
        <f>_xll.ciqfunctions.udf.CIQ($B6, "IQ_CURRENT_RATIO", IQ_FY, J$5, , , "USD")</f>
        <v>1.78288</v>
      </c>
      <c r="K6" s="390">
        <f>_xll.ciqfunctions.udf.CIQ($B6, "IQ_CURRENT_RATIO", IQ_FY, K$5, , , "USD")</f>
        <v>1.6669099999999999</v>
      </c>
      <c r="L6" s="390">
        <f>_xll.ciqfunctions.udf.CIQ($B6, "IQ_CURRENT_RATIO", IQ_FY, L$5, , , "USD")</f>
        <v>1.61042</v>
      </c>
      <c r="M6" s="391">
        <f>_xll.ciqfunctions.udf.CIQ($B6, "IQ_CURRENT_RATIO", IQ_FY, M$5, , , "USD")</f>
        <v>1.5461</v>
      </c>
    </row>
    <row r="7" spans="2:14" x14ac:dyDescent="0.25">
      <c r="B7" s="389" t="s">
        <v>342</v>
      </c>
      <c r="C7" s="6" t="str">
        <f>_xll.ciqfunctions.udf.CIQ(B7, "IQ_COMPANY_NAME")</f>
        <v>MYR Group Inc.</v>
      </c>
      <c r="D7" s="390">
        <f>_xll.ciqfunctions.udf.CIQ($B7, "IQ_CURRENT_RATIO", IQ_FY, D$5, , , "USD")</f>
        <v>1.58504</v>
      </c>
      <c r="E7" s="390">
        <f>_xll.ciqfunctions.udf.CIQ($B7, "IQ_CURRENT_RATIO", IQ_FY, E$5, , , "USD")</f>
        <v>1.8270599999999999</v>
      </c>
      <c r="F7" s="390">
        <f>_xll.ciqfunctions.udf.CIQ($B7, "IQ_CURRENT_RATIO", IQ_FY, F$5, , , "USD")</f>
        <v>1.68784</v>
      </c>
      <c r="G7" s="390">
        <f>_xll.ciqfunctions.udf.CIQ($B7, "IQ_CURRENT_RATIO", IQ_FY, G$5, , , "USD")</f>
        <v>1.68784</v>
      </c>
      <c r="H7" s="390">
        <f>_xll.ciqfunctions.udf.CIQ($B7, "IQ_CURRENT_RATIO", IQ_FY, H$5, , , "USD")</f>
        <v>2.01383</v>
      </c>
      <c r="I7" s="390">
        <f>_xll.ciqfunctions.udf.CIQ($B7, "IQ_CURRENT_RATIO", IQ_FY, I$5, , , "USD")</f>
        <v>1.6759200000000001</v>
      </c>
      <c r="J7" s="390">
        <f>_xll.ciqfunctions.udf.CIQ($B7, "IQ_CURRENT_RATIO", IQ_FY, J$5, , , "USD")</f>
        <v>1.6107899999999999</v>
      </c>
      <c r="K7" s="390">
        <f>_xll.ciqfunctions.udf.CIQ($B7, "IQ_CURRENT_RATIO", IQ_FY, K$5, , , "USD")</f>
        <v>1.43591</v>
      </c>
      <c r="L7" s="390">
        <f>_xll.ciqfunctions.udf.CIQ($B7, "IQ_CURRENT_RATIO", IQ_FY, L$5, , , "USD")</f>
        <v>1.50099</v>
      </c>
      <c r="M7" s="391">
        <f>_xll.ciqfunctions.udf.CIQ($B7, "IQ_CURRENT_RATIO", IQ_FY, M$5, , , "USD")</f>
        <v>1.3348500000000001</v>
      </c>
    </row>
    <row r="8" spans="2:14" x14ac:dyDescent="0.25">
      <c r="B8" s="392" t="s">
        <v>341</v>
      </c>
      <c r="C8" s="393" t="str">
        <f>_xll.ciqfunctions.udf.CIQ(B8, "IQ_COMPANY_NAME")</f>
        <v>Quanta Services, Inc.</v>
      </c>
      <c r="D8" s="394">
        <f>_xll.ciqfunctions.udf.CIQ($B8, "IQ_CURRENT_RATIO", IQ_FY, D$5, , , "USD")</f>
        <v>2.2190799999999999</v>
      </c>
      <c r="E8" s="394">
        <f>_xll.ciqfunctions.udf.CIQ($B8, "IQ_CURRENT_RATIO", IQ_FY, E$5, , , "USD")</f>
        <v>2.2558799999999999</v>
      </c>
      <c r="F8" s="394">
        <f>_xll.ciqfunctions.udf.CIQ($B8, "IQ_CURRENT_RATIO", IQ_FY, F$5, , , "USD")</f>
        <v>1.8920300000000001</v>
      </c>
      <c r="G8" s="394">
        <f>_xll.ciqfunctions.udf.CIQ($B8, "IQ_CURRENT_RATIO", IQ_FY, G$5, , , "USD")</f>
        <v>1.8920300000000001</v>
      </c>
      <c r="H8" s="394">
        <f>_xll.ciqfunctions.udf.CIQ($B8, "IQ_CURRENT_RATIO", IQ_FY, H$5, , , "USD")</f>
        <v>1.92344</v>
      </c>
      <c r="I8" s="394">
        <f>_xll.ciqfunctions.udf.CIQ($B8, "IQ_CURRENT_RATIO", IQ_FY, I$5, , , "USD")</f>
        <v>1.8415699999999999</v>
      </c>
      <c r="J8" s="394">
        <f>_xll.ciqfunctions.udf.CIQ($B8, "IQ_CURRENT_RATIO", IQ_FY, J$5, , , "USD")</f>
        <v>1.6928399999999999</v>
      </c>
      <c r="K8" s="394">
        <f>_xll.ciqfunctions.udf.CIQ($B8, "IQ_CURRENT_RATIO", IQ_FY, K$5, , , "USD")</f>
        <v>1.6779500000000001</v>
      </c>
      <c r="L8" s="394">
        <f>_xll.ciqfunctions.udf.CIQ($B8, "IQ_CURRENT_RATIO", IQ_FY, L$5, , , "USD")</f>
        <v>1.4953000000000001</v>
      </c>
      <c r="M8" s="395">
        <f>_xll.ciqfunctions.udf.CIQ($B8, "IQ_CURRENT_RATIO", IQ_FY, M$5, , , "USD")</f>
        <v>1.6252899999999999</v>
      </c>
    </row>
    <row r="10" spans="2:14" x14ac:dyDescent="0.25">
      <c r="B10" s="406" t="s">
        <v>339</v>
      </c>
      <c r="C10" s="407"/>
      <c r="D10" s="407"/>
      <c r="E10" s="407"/>
      <c r="F10" s="407"/>
      <c r="G10" s="407"/>
      <c r="H10" s="407"/>
      <c r="I10" s="407"/>
      <c r="J10" s="407"/>
      <c r="K10" s="407"/>
      <c r="L10" s="407"/>
      <c r="M10" s="408"/>
    </row>
    <row r="11" spans="2:14" x14ac:dyDescent="0.25">
      <c r="B11" s="409" t="s">
        <v>110</v>
      </c>
      <c r="C11" s="410" t="s">
        <v>328</v>
      </c>
      <c r="D11" s="411">
        <v>41639</v>
      </c>
      <c r="E11" s="411">
        <v>42004</v>
      </c>
      <c r="F11" s="411">
        <v>42369</v>
      </c>
      <c r="G11" s="411">
        <f>F11+365</f>
        <v>42734</v>
      </c>
      <c r="H11" s="411">
        <f>G11+366</f>
        <v>43100</v>
      </c>
      <c r="I11" s="411">
        <f t="shared" ref="I11:J11" si="2">H11+365</f>
        <v>43465</v>
      </c>
      <c r="J11" s="411">
        <f t="shared" si="2"/>
        <v>43830</v>
      </c>
      <c r="K11" s="411">
        <f>J11+366</f>
        <v>44196</v>
      </c>
      <c r="L11" s="411">
        <f>K11+365</f>
        <v>44561</v>
      </c>
      <c r="M11" s="412">
        <f t="shared" ref="M11" si="3">L11+365</f>
        <v>44926</v>
      </c>
    </row>
    <row r="12" spans="2:14" x14ac:dyDescent="0.25">
      <c r="B12" s="389" t="s">
        <v>340</v>
      </c>
      <c r="C12" s="6" t="str">
        <f>_xll.ciqfunctions.udf.CIQ(B12, "IQ_COMPANY_NAME")</f>
        <v>MasTec, Inc.</v>
      </c>
      <c r="D12" s="390">
        <f>_xll.ciqfunctions.udf.CIQ($B12, "IQ_QUICK_RATIO", IQ_FY, D$5, , , "USD")</f>
        <v>1.3960300000000001</v>
      </c>
      <c r="E12" s="390">
        <f>_xll.ciqfunctions.udf.CIQ($B12, "IQ_QUICK_RATIO", IQ_FY, E$5, , , "USD")</f>
        <v>1.3535299999999999</v>
      </c>
      <c r="F12" s="390">
        <f>_xll.ciqfunctions.udf.CIQ($B12, "IQ_QUICK_RATIO", IQ_FY, F$5, , , "USD")</f>
        <v>1.2556099999999999</v>
      </c>
      <c r="G12" s="390">
        <f>_xll.ciqfunctions.udf.CIQ($B12, "IQ_QUICK_RATIO", IQ_FY, G$5, , , "USD")</f>
        <v>1.2556099999999999</v>
      </c>
      <c r="H12" s="390">
        <f>_xll.ciqfunctions.udf.CIQ($B12, "IQ_QUICK_RATIO", IQ_FY, H$5, , , "USD")</f>
        <v>1.7097899999999999</v>
      </c>
      <c r="I12" s="390">
        <f>_xll.ciqfunctions.udf.CIQ($B12, "IQ_QUICK_RATIO", IQ_FY, I$5, , , "USD")</f>
        <v>1.52024</v>
      </c>
      <c r="J12" s="390">
        <f>_xll.ciqfunctions.udf.CIQ($B12, "IQ_QUICK_RATIO", IQ_FY, J$5, , , "USD")</f>
        <v>1.59649</v>
      </c>
      <c r="K12" s="390">
        <f>_xll.ciqfunctions.udf.CIQ($B12, "IQ_QUICK_RATIO", IQ_FY, K$5, , , "USD")</f>
        <v>1.5505599999999999</v>
      </c>
      <c r="L12" s="390">
        <f>_xll.ciqfunctions.udf.CIQ($B12, "IQ_QUICK_RATIO", IQ_FY, L$5, , , "USD")</f>
        <v>1.4658100000000001</v>
      </c>
      <c r="M12" s="391">
        <f>_xll.ciqfunctions.udf.CIQ($B12, "IQ_QUICK_RATIO", IQ_FY, M$5, , , "USD")</f>
        <v>1.40239</v>
      </c>
    </row>
    <row r="13" spans="2:14" x14ac:dyDescent="0.25">
      <c r="B13" s="389" t="s">
        <v>342</v>
      </c>
      <c r="C13" s="6" t="str">
        <f>_xll.ciqfunctions.udf.CIQ(B13, "IQ_COMPANY_NAME")</f>
        <v>MYR Group Inc.</v>
      </c>
      <c r="D13" s="390">
        <f>_xll.ciqfunctions.udf.CIQ($B13, "IQ_QUICK_RATIO", IQ_FY, D$5, , , "USD")</f>
        <v>1.4831099999999999</v>
      </c>
      <c r="E13" s="390">
        <f>_xll.ciqfunctions.udf.CIQ($B13, "IQ_QUICK_RATIO", IQ_FY, E$5, , , "USD")</f>
        <v>1.7175800000000001</v>
      </c>
      <c r="F13" s="390">
        <f>_xll.ciqfunctions.udf.CIQ($B13, "IQ_QUICK_RATIO", IQ_FY, F$5, , , "USD")</f>
        <v>1.6436500000000001</v>
      </c>
      <c r="G13" s="390">
        <f>_xll.ciqfunctions.udf.CIQ($B13, "IQ_QUICK_RATIO", IQ_FY, G$5, , , "USD")</f>
        <v>1.6436500000000001</v>
      </c>
      <c r="H13" s="390">
        <f>_xll.ciqfunctions.udf.CIQ($B13, "IQ_QUICK_RATIO", IQ_FY, H$5, , , "USD")</f>
        <v>1.96868</v>
      </c>
      <c r="I13" s="390">
        <f>_xll.ciqfunctions.udf.CIQ($B13, "IQ_QUICK_RATIO", IQ_FY, I$5, , , "USD")</f>
        <v>1.6447499999999999</v>
      </c>
      <c r="J13" s="390">
        <f>_xll.ciqfunctions.udf.CIQ($B13, "IQ_QUICK_RATIO", IQ_FY, J$5, , , "USD")</f>
        <v>1.5785100000000001</v>
      </c>
      <c r="K13" s="390">
        <f>_xll.ciqfunctions.udf.CIQ($B13, "IQ_QUICK_RATIO", IQ_FY, K$5, , , "USD")</f>
        <v>1.3707800000000001</v>
      </c>
      <c r="L13" s="390">
        <f>_xll.ciqfunctions.udf.CIQ($B13, "IQ_QUICK_RATIO", IQ_FY, L$5, , , "USD")</f>
        <v>1.4096</v>
      </c>
      <c r="M13" s="391">
        <f>_xll.ciqfunctions.udf.CIQ($B13, "IQ_QUICK_RATIO", IQ_FY, M$5, , , "USD")</f>
        <v>1.2631399999999999</v>
      </c>
    </row>
    <row r="14" spans="2:14" x14ac:dyDescent="0.25">
      <c r="B14" s="392" t="s">
        <v>341</v>
      </c>
      <c r="C14" s="393" t="str">
        <f>_xll.ciqfunctions.udf.CIQ(B14, "IQ_COMPANY_NAME")</f>
        <v>Quanta Services, Inc.</v>
      </c>
      <c r="D14" s="394">
        <f>_xll.ciqfunctions.udf.CIQ($B14, "IQ_QUICK_RATIO", IQ_FY, D$5, , , "USD")</f>
        <v>2.0548099999999998</v>
      </c>
      <c r="E14" s="394">
        <f>_xll.ciqfunctions.udf.CIQ($B14, "IQ_QUICK_RATIO", IQ_FY, E$5, , , "USD")</f>
        <v>2.0634999999999999</v>
      </c>
      <c r="F14" s="394">
        <f>_xll.ciqfunctions.udf.CIQ($B14, "IQ_QUICK_RATIO", IQ_FY, F$5, , , "USD")</f>
        <v>1.71818</v>
      </c>
      <c r="G14" s="394">
        <f>_xll.ciqfunctions.udf.CIQ($B14, "IQ_QUICK_RATIO", IQ_FY, G$5, , , "USD")</f>
        <v>1.71818</v>
      </c>
      <c r="H14" s="394">
        <f>_xll.ciqfunctions.udf.CIQ($B14, "IQ_QUICK_RATIO", IQ_FY, H$5, , , "USD")</f>
        <v>1.7566600000000001</v>
      </c>
      <c r="I14" s="394">
        <f>_xll.ciqfunctions.udf.CIQ($B14, "IQ_QUICK_RATIO", IQ_FY, I$5, , , "USD")</f>
        <v>1.66689</v>
      </c>
      <c r="J14" s="394">
        <f>_xll.ciqfunctions.udf.CIQ($B14, "IQ_QUICK_RATIO", IQ_FY, J$5, , , "USD")</f>
        <v>1.5528900000000001</v>
      </c>
      <c r="K14" s="394">
        <f>_xll.ciqfunctions.udf.CIQ($B14, "IQ_QUICK_RATIO", IQ_FY, K$5, , , "USD")</f>
        <v>1.5687899999999999</v>
      </c>
      <c r="L14" s="394">
        <f>_xll.ciqfunctions.udf.CIQ($B14, "IQ_QUICK_RATIO", IQ_FY, L$5, , , "USD")</f>
        <v>1.40073</v>
      </c>
      <c r="M14" s="395">
        <f>_xll.ciqfunctions.udf.CIQ($B14, "IQ_QUICK_RATIO", IQ_FY, M$5, , , "USD")</f>
        <v>1.5218</v>
      </c>
    </row>
  </sheetData>
  <mergeCells count="1">
    <mergeCell ref="B2:C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023D9-9575-4D96-A6C4-656EB06D42BC}">
  <sheetPr>
    <tabColor rgb="FF00B0F0"/>
  </sheetPr>
  <dimension ref="A2:P33"/>
  <sheetViews>
    <sheetView showGridLines="0" zoomScale="70" zoomScaleNormal="70" workbookViewId="0">
      <selection activeCell="C37" sqref="C37"/>
    </sheetView>
  </sheetViews>
  <sheetFormatPr defaultRowHeight="15" x14ac:dyDescent="0.25"/>
  <cols>
    <col min="1" max="1" width="2.7109375" style="396" customWidth="1"/>
    <col min="2" max="2" width="25.7109375" style="396" customWidth="1"/>
    <col min="3" max="3" width="30.7109375" style="396" customWidth="1"/>
    <col min="4" max="13" width="15.7109375" style="396" customWidth="1"/>
    <col min="14" max="15" width="12.42578125" style="396" bestFit="1" customWidth="1"/>
    <col min="16" max="16" width="24.140625" bestFit="1" customWidth="1"/>
    <col min="17" max="257" width="9.140625" style="396"/>
    <col min="258" max="258" width="21.5703125" style="396" bestFit="1" customWidth="1"/>
    <col min="259" max="513" width="9.140625" style="396"/>
    <col min="514" max="514" width="21.5703125" style="396" bestFit="1" customWidth="1"/>
    <col min="515" max="769" width="9.140625" style="396"/>
    <col min="770" max="770" width="21.5703125" style="396" bestFit="1" customWidth="1"/>
    <col min="771" max="1025" width="9.140625" style="396"/>
    <col min="1026" max="1026" width="21.5703125" style="396" bestFit="1" customWidth="1"/>
    <col min="1027" max="1281" width="9.140625" style="396"/>
    <col min="1282" max="1282" width="21.5703125" style="396" bestFit="1" customWidth="1"/>
    <col min="1283" max="1537" width="9.140625" style="396"/>
    <col min="1538" max="1538" width="21.5703125" style="396" bestFit="1" customWidth="1"/>
    <col min="1539" max="1793" width="9.140625" style="396"/>
    <col min="1794" max="1794" width="21.5703125" style="396" bestFit="1" customWidth="1"/>
    <col min="1795" max="2049" width="9.140625" style="396"/>
    <col min="2050" max="2050" width="21.5703125" style="396" bestFit="1" customWidth="1"/>
    <col min="2051" max="2305" width="9.140625" style="396"/>
    <col min="2306" max="2306" width="21.5703125" style="396" bestFit="1" customWidth="1"/>
    <col min="2307" max="2561" width="9.140625" style="396"/>
    <col min="2562" max="2562" width="21.5703125" style="396" bestFit="1" customWidth="1"/>
    <col min="2563" max="2817" width="9.140625" style="396"/>
    <col min="2818" max="2818" width="21.5703125" style="396" bestFit="1" customWidth="1"/>
    <col min="2819" max="3073" width="9.140625" style="396"/>
    <col min="3074" max="3074" width="21.5703125" style="396" bestFit="1" customWidth="1"/>
    <col min="3075" max="3329" width="9.140625" style="396"/>
    <col min="3330" max="3330" width="21.5703125" style="396" bestFit="1" customWidth="1"/>
    <col min="3331" max="3585" width="9.140625" style="396"/>
    <col min="3586" max="3586" width="21.5703125" style="396" bestFit="1" customWidth="1"/>
    <col min="3587" max="3841" width="9.140625" style="396"/>
    <col min="3842" max="3842" width="21.5703125" style="396" bestFit="1" customWidth="1"/>
    <col min="3843" max="4097" width="9.140625" style="396"/>
    <col min="4098" max="4098" width="21.5703125" style="396" bestFit="1" customWidth="1"/>
    <col min="4099" max="4353" width="9.140625" style="396"/>
    <col min="4354" max="4354" width="21.5703125" style="396" bestFit="1" customWidth="1"/>
    <col min="4355" max="4609" width="9.140625" style="396"/>
    <col min="4610" max="4610" width="21.5703125" style="396" bestFit="1" customWidth="1"/>
    <col min="4611" max="4865" width="9.140625" style="396"/>
    <col min="4866" max="4866" width="21.5703125" style="396" bestFit="1" customWidth="1"/>
    <col min="4867" max="5121" width="9.140625" style="396"/>
    <col min="5122" max="5122" width="21.5703125" style="396" bestFit="1" customWidth="1"/>
    <col min="5123" max="5377" width="9.140625" style="396"/>
    <col min="5378" max="5378" width="21.5703125" style="396" bestFit="1" customWidth="1"/>
    <col min="5379" max="5633" width="9.140625" style="396"/>
    <col min="5634" max="5634" width="21.5703125" style="396" bestFit="1" customWidth="1"/>
    <col min="5635" max="5889" width="9.140625" style="396"/>
    <col min="5890" max="5890" width="21.5703125" style="396" bestFit="1" customWidth="1"/>
    <col min="5891" max="6145" width="9.140625" style="396"/>
    <col min="6146" max="6146" width="21.5703125" style="396" bestFit="1" customWidth="1"/>
    <col min="6147" max="6401" width="9.140625" style="396"/>
    <col min="6402" max="6402" width="21.5703125" style="396" bestFit="1" customWidth="1"/>
    <col min="6403" max="6657" width="9.140625" style="396"/>
    <col min="6658" max="6658" width="21.5703125" style="396" bestFit="1" customWidth="1"/>
    <col min="6659" max="6913" width="9.140625" style="396"/>
    <col min="6914" max="6914" width="21.5703125" style="396" bestFit="1" customWidth="1"/>
    <col min="6915" max="7169" width="9.140625" style="396"/>
    <col min="7170" max="7170" width="21.5703125" style="396" bestFit="1" customWidth="1"/>
    <col min="7171" max="7425" width="9.140625" style="396"/>
    <col min="7426" max="7426" width="21.5703125" style="396" bestFit="1" customWidth="1"/>
    <col min="7427" max="7681" width="9.140625" style="396"/>
    <col min="7682" max="7682" width="21.5703125" style="396" bestFit="1" customWidth="1"/>
    <col min="7683" max="7937" width="9.140625" style="396"/>
    <col min="7938" max="7938" width="21.5703125" style="396" bestFit="1" customWidth="1"/>
    <col min="7939" max="8193" width="9.140625" style="396"/>
    <col min="8194" max="8194" width="21.5703125" style="396" bestFit="1" customWidth="1"/>
    <col min="8195" max="8449" width="9.140625" style="396"/>
    <col min="8450" max="8450" width="21.5703125" style="396" bestFit="1" customWidth="1"/>
    <col min="8451" max="8705" width="9.140625" style="396"/>
    <col min="8706" max="8706" width="21.5703125" style="396" bestFit="1" customWidth="1"/>
    <col min="8707" max="8961" width="9.140625" style="396"/>
    <col min="8962" max="8962" width="21.5703125" style="396" bestFit="1" customWidth="1"/>
    <col min="8963" max="9217" width="9.140625" style="396"/>
    <col min="9218" max="9218" width="21.5703125" style="396" bestFit="1" customWidth="1"/>
    <col min="9219" max="9473" width="9.140625" style="396"/>
    <col min="9474" max="9474" width="21.5703125" style="396" bestFit="1" customWidth="1"/>
    <col min="9475" max="9729" width="9.140625" style="396"/>
    <col min="9730" max="9730" width="21.5703125" style="396" bestFit="1" customWidth="1"/>
    <col min="9731" max="9985" width="9.140625" style="396"/>
    <col min="9986" max="9986" width="21.5703125" style="396" bestFit="1" customWidth="1"/>
    <col min="9987" max="10241" width="9.140625" style="396"/>
    <col min="10242" max="10242" width="21.5703125" style="396" bestFit="1" customWidth="1"/>
    <col min="10243" max="10497" width="9.140625" style="396"/>
    <col min="10498" max="10498" width="21.5703125" style="396" bestFit="1" customWidth="1"/>
    <col min="10499" max="10753" width="9.140625" style="396"/>
    <col min="10754" max="10754" width="21.5703125" style="396" bestFit="1" customWidth="1"/>
    <col min="10755" max="11009" width="9.140625" style="396"/>
    <col min="11010" max="11010" width="21.5703125" style="396" bestFit="1" customWidth="1"/>
    <col min="11011" max="11265" width="9.140625" style="396"/>
    <col min="11266" max="11266" width="21.5703125" style="396" bestFit="1" customWidth="1"/>
    <col min="11267" max="11521" width="9.140625" style="396"/>
    <col min="11522" max="11522" width="21.5703125" style="396" bestFit="1" customWidth="1"/>
    <col min="11523" max="11777" width="9.140625" style="396"/>
    <col min="11778" max="11778" width="21.5703125" style="396" bestFit="1" customWidth="1"/>
    <col min="11779" max="12033" width="9.140625" style="396"/>
    <col min="12034" max="12034" width="21.5703125" style="396" bestFit="1" customWidth="1"/>
    <col min="12035" max="12289" width="9.140625" style="396"/>
    <col min="12290" max="12290" width="21.5703125" style="396" bestFit="1" customWidth="1"/>
    <col min="12291" max="12545" width="9.140625" style="396"/>
    <col min="12546" max="12546" width="21.5703125" style="396" bestFit="1" customWidth="1"/>
    <col min="12547" max="12801" width="9.140625" style="396"/>
    <col min="12802" max="12802" width="21.5703125" style="396" bestFit="1" customWidth="1"/>
    <col min="12803" max="13057" width="9.140625" style="396"/>
    <col min="13058" max="13058" width="21.5703125" style="396" bestFit="1" customWidth="1"/>
    <col min="13059" max="13313" width="9.140625" style="396"/>
    <col min="13314" max="13314" width="21.5703125" style="396" bestFit="1" customWidth="1"/>
    <col min="13315" max="13569" width="9.140625" style="396"/>
    <col min="13570" max="13570" width="21.5703125" style="396" bestFit="1" customWidth="1"/>
    <col min="13571" max="13825" width="9.140625" style="396"/>
    <col min="13826" max="13826" width="21.5703125" style="396" bestFit="1" customWidth="1"/>
    <col min="13827" max="14081" width="9.140625" style="396"/>
    <col min="14082" max="14082" width="21.5703125" style="396" bestFit="1" customWidth="1"/>
    <col min="14083" max="14337" width="9.140625" style="396"/>
    <col min="14338" max="14338" width="21.5703125" style="396" bestFit="1" customWidth="1"/>
    <col min="14339" max="14593" width="9.140625" style="396"/>
    <col min="14594" max="14594" width="21.5703125" style="396" bestFit="1" customWidth="1"/>
    <col min="14595" max="14849" width="9.140625" style="396"/>
    <col min="14850" max="14850" width="21.5703125" style="396" bestFit="1" customWidth="1"/>
    <col min="14851" max="15105" width="9.140625" style="396"/>
    <col min="15106" max="15106" width="21.5703125" style="396" bestFit="1" customWidth="1"/>
    <col min="15107" max="15361" width="9.140625" style="396"/>
    <col min="15362" max="15362" width="21.5703125" style="396" bestFit="1" customWidth="1"/>
    <col min="15363" max="15617" width="9.140625" style="396"/>
    <col min="15618" max="15618" width="21.5703125" style="396" bestFit="1" customWidth="1"/>
    <col min="15619" max="15873" width="9.140625" style="396"/>
    <col min="15874" max="15874" width="21.5703125" style="396" bestFit="1" customWidth="1"/>
    <col min="15875" max="16129" width="9.140625" style="396"/>
    <col min="16130" max="16130" width="21.5703125" style="396" bestFit="1" customWidth="1"/>
    <col min="16131" max="16384" width="9.140625" style="396"/>
  </cols>
  <sheetData>
    <row r="2" spans="1:16" ht="15" customHeight="1" x14ac:dyDescent="0.25">
      <c r="B2" s="387" t="s">
        <v>329</v>
      </c>
      <c r="C2" s="387"/>
      <c r="D2" s="397"/>
    </row>
    <row r="3" spans="1:16" ht="15.75" customHeight="1" x14ac:dyDescent="0.25">
      <c r="A3" s="6"/>
      <c r="B3" s="387"/>
      <c r="C3" s="387"/>
      <c r="D3" s="397"/>
      <c r="E3" s="6"/>
      <c r="F3" s="6"/>
      <c r="G3" s="6"/>
      <c r="H3" s="6"/>
      <c r="I3" s="6"/>
      <c r="J3" s="6"/>
      <c r="K3" s="6"/>
      <c r="L3" s="6"/>
      <c r="M3" s="6"/>
    </row>
    <row r="4" spans="1:16" s="7" customFormat="1" ht="15.75" x14ac:dyDescent="0.25">
      <c r="B4" s="406" t="s">
        <v>335</v>
      </c>
      <c r="C4" s="407"/>
      <c r="D4" s="407"/>
      <c r="E4" s="407"/>
      <c r="F4" s="407"/>
      <c r="G4" s="407"/>
      <c r="H4" s="407"/>
      <c r="I4" s="407"/>
      <c r="J4" s="407"/>
      <c r="K4" s="407"/>
      <c r="L4" s="407"/>
      <c r="M4" s="408"/>
      <c r="P4"/>
    </row>
    <row r="5" spans="1:16" s="6" customFormat="1" ht="15.75" x14ac:dyDescent="0.25">
      <c r="B5" s="409" t="s">
        <v>110</v>
      </c>
      <c r="C5" s="410" t="s">
        <v>328</v>
      </c>
      <c r="D5" s="411">
        <v>41639</v>
      </c>
      <c r="E5" s="411">
        <v>42004</v>
      </c>
      <c r="F5" s="411">
        <v>42369</v>
      </c>
      <c r="G5" s="411">
        <f>F5+365</f>
        <v>42734</v>
      </c>
      <c r="H5" s="411">
        <f>G5+366</f>
        <v>43100</v>
      </c>
      <c r="I5" s="411">
        <f t="shared" ref="I5:J5" si="0">H5+365</f>
        <v>43465</v>
      </c>
      <c r="J5" s="411">
        <f t="shared" si="0"/>
        <v>43830</v>
      </c>
      <c r="K5" s="411">
        <f>J5+366</f>
        <v>44196</v>
      </c>
      <c r="L5" s="411">
        <f>K5+365</f>
        <v>44561</v>
      </c>
      <c r="M5" s="412">
        <f t="shared" ref="M5" si="1">L5+365</f>
        <v>44926</v>
      </c>
      <c r="N5" s="388"/>
      <c r="P5"/>
    </row>
    <row r="6" spans="1:16" s="6" customFormat="1" ht="15.75" x14ac:dyDescent="0.25">
      <c r="B6" s="389" t="s">
        <v>340</v>
      </c>
      <c r="C6" s="6" t="str">
        <f>_xll.ciqfunctions.udf.CIQ(B6, "IQ_COMPANY_NAME")</f>
        <v>MasTec, Inc.</v>
      </c>
      <c r="D6" s="398">
        <f>(_xll.ciqfunctions.udf.CIQ($B6, "IQ_TOTAL_DEBT_EQUITY", IQ_FY, D$5))/100</f>
        <v>0.79995500000000008</v>
      </c>
      <c r="E6" s="398">
        <f>(_xll.ciqfunctions.udf.CIQ($B6, "IQ_TOTAL_DEBT_EQUITY", IQ_FY, E$5))/100</f>
        <v>0.98842799999999997</v>
      </c>
      <c r="F6" s="398">
        <f>(_xll.ciqfunctions.udf.CIQ($B6, "IQ_TOTAL_DEBT_EQUITY", IQ_FY, F$5))/100</f>
        <v>1.0708899999999999</v>
      </c>
      <c r="G6" s="398">
        <f>(_xll.ciqfunctions.udf.CIQ($B6, "IQ_TOTAL_DEBT_EQUITY", IQ_FY, G$5))/100</f>
        <v>1.0708899999999999</v>
      </c>
      <c r="H6" s="398">
        <f>(_xll.ciqfunctions.udf.CIQ($B6, "IQ_TOTAL_DEBT_EQUITY", IQ_FY, H$5))/100</f>
        <v>0.95480399999999999</v>
      </c>
      <c r="I6" s="398">
        <f>(_xll.ciqfunctions.udf.CIQ($B6, "IQ_TOTAL_DEBT_EQUITY", IQ_FY, I$5))/100</f>
        <v>1.01067</v>
      </c>
      <c r="J6" s="398">
        <f>(_xll.ciqfunctions.udf.CIQ($B6, "IQ_TOTAL_DEBT_EQUITY", IQ_FY, J$5))/100</f>
        <v>0.93128299999999997</v>
      </c>
      <c r="K6" s="398">
        <f>(_xll.ciqfunctions.udf.CIQ($B6, "IQ_TOTAL_DEBT_EQUITY", IQ_FY, K$5))/100</f>
        <v>0.74380899999999994</v>
      </c>
      <c r="L6" s="398">
        <f>(_xll.ciqfunctions.udf.CIQ($B6, "IQ_TOTAL_DEBT_EQUITY", IQ_FY, L$5))/100</f>
        <v>0.898613</v>
      </c>
      <c r="M6" s="399">
        <f>(_xll.ciqfunctions.udf.CIQ($B6, "IQ_TOTAL_DEBT_EQUITY", IQ_FY, M$5))/100</f>
        <v>1.2821719999999999</v>
      </c>
      <c r="P6"/>
    </row>
    <row r="7" spans="1:16" s="6" customFormat="1" ht="15.75" x14ac:dyDescent="0.25">
      <c r="B7" s="389" t="s">
        <v>342</v>
      </c>
      <c r="C7" s="6" t="str">
        <f>_xll.ciqfunctions.udf.CIQ(B7, "IQ_COMPANY_NAME")</f>
        <v>MYR Group Inc.</v>
      </c>
      <c r="D7" s="398">
        <f>(_xll.ciqfunctions.udf.CIQ($B7, "IQ_TOTAL_DEBT_EQUITY", IQ_FY, D$5))/100</f>
        <v>0</v>
      </c>
      <c r="E7" s="398">
        <f>(_xll.ciqfunctions.udf.CIQ($B7, "IQ_TOTAL_DEBT_EQUITY", IQ_FY, E$5))/100</f>
        <v>0</v>
      </c>
      <c r="F7" s="398">
        <f>(_xll.ciqfunctions.udf.CIQ($B7, "IQ_TOTAL_DEBT_EQUITY", IQ_FY, F$5))/100</f>
        <v>0</v>
      </c>
      <c r="G7" s="398">
        <f>(_xll.ciqfunctions.udf.CIQ($B7, "IQ_TOTAL_DEBT_EQUITY", IQ_FY, G$5))/100</f>
        <v>0</v>
      </c>
      <c r="H7" s="398">
        <f>(_xll.ciqfunctions.udf.CIQ($B7, "IQ_TOTAL_DEBT_EQUITY", IQ_FY, H$5))/100</f>
        <v>0.28802700000000003</v>
      </c>
      <c r="I7" s="398">
        <f>(_xll.ciqfunctions.udf.CIQ($B7, "IQ_TOTAL_DEBT_EQUITY", IQ_FY, I$5))/100</f>
        <v>0.284854</v>
      </c>
      <c r="J7" s="398">
        <f>(_xll.ciqfunctions.udf.CIQ($B7, "IQ_TOTAL_DEBT_EQUITY", IQ_FY, J$5))/100</f>
        <v>0.52235599999999993</v>
      </c>
      <c r="K7" s="398">
        <f>(_xll.ciqfunctions.udf.CIQ($B7, "IQ_TOTAL_DEBT_EQUITY", IQ_FY, K$5))/100</f>
        <v>0.12131600000000001</v>
      </c>
      <c r="L7" s="398">
        <f>(_xll.ciqfunctions.udf.CIQ($B7, "IQ_TOTAL_DEBT_EQUITY", IQ_FY, L$5))/100</f>
        <v>4.9119000000000003E-2</v>
      </c>
      <c r="M7" s="399">
        <f>(_xll.ciqfunctions.udf.CIQ($B7, "IQ_TOTAL_DEBT_EQUITY", IQ_FY, M$5))/100</f>
        <v>0.133075</v>
      </c>
      <c r="P7"/>
    </row>
    <row r="8" spans="1:16" s="6" customFormat="1" ht="15.75" x14ac:dyDescent="0.25">
      <c r="B8" s="392" t="s">
        <v>341</v>
      </c>
      <c r="C8" s="393" t="str">
        <f>_xll.ciqfunctions.udf.CIQ(B8, "IQ_COMPANY_NAME")</f>
        <v>Quanta Services, Inc.</v>
      </c>
      <c r="D8" s="400">
        <f>(_xll.ciqfunctions.udf.CIQ($B8, "IQ_TOTAL_DEBT_EQUITY", IQ_FY, D$5))/100</f>
        <v>5.2599999999999999E-4</v>
      </c>
      <c r="E8" s="400">
        <f>(_xll.ciqfunctions.udf.CIQ($B8, "IQ_TOTAL_DEBT_EQUITY", IQ_FY, E$5))/100</f>
        <v>1.7979000000000002E-2</v>
      </c>
      <c r="F8" s="400">
        <f>(_xll.ciqfunctions.udf.CIQ($B8, "IQ_TOTAL_DEBT_EQUITY", IQ_FY, F$5))/100</f>
        <v>0.15623699999999999</v>
      </c>
      <c r="G8" s="400">
        <f>(_xll.ciqfunctions.udf.CIQ($B8, "IQ_TOTAL_DEBT_EQUITY", IQ_FY, G$5))/100</f>
        <v>0.15623699999999999</v>
      </c>
      <c r="H8" s="400">
        <f>(_xll.ciqfunctions.udf.CIQ($B8, "IQ_TOTAL_DEBT_EQUITY", IQ_FY, H$5))/100</f>
        <v>0.17702999999999999</v>
      </c>
      <c r="I8" s="400">
        <f>(_xll.ciqfunctions.udf.CIQ($B8, "IQ_TOTAL_DEBT_EQUITY", IQ_FY, I$5))/100</f>
        <v>0.30680599999999997</v>
      </c>
      <c r="J8" s="400">
        <f>(_xll.ciqfunctions.udf.CIQ($B8, "IQ_TOTAL_DEBT_EQUITY", IQ_FY, J$5))/100</f>
        <v>0.40851700000000002</v>
      </c>
      <c r="K8" s="400">
        <f>(_xll.ciqfunctions.udf.CIQ($B8, "IQ_TOTAL_DEBT_EQUITY", IQ_FY, K$5))/100</f>
        <v>0.33410499999999999</v>
      </c>
      <c r="L8" s="400">
        <f>(_xll.ciqfunctions.udf.CIQ($B8, "IQ_TOTAL_DEBT_EQUITY", IQ_FY, L$5))/100</f>
        <v>0.7821729999999999</v>
      </c>
      <c r="M8" s="401">
        <f>(_xll.ciqfunctions.udf.CIQ($B8, "IQ_TOTAL_DEBT_EQUITY", IQ_FY, M$5))/100</f>
        <v>0.7363630000000001</v>
      </c>
      <c r="P8"/>
    </row>
    <row r="9" spans="1:16" s="6" customFormat="1" ht="15.75" x14ac:dyDescent="0.25">
      <c r="P9"/>
    </row>
    <row r="10" spans="1:16" customFormat="1" ht="15.75" x14ac:dyDescent="0.25">
      <c r="A10" s="396"/>
      <c r="B10" s="406" t="s">
        <v>336</v>
      </c>
      <c r="C10" s="407"/>
      <c r="D10" s="407"/>
      <c r="E10" s="407"/>
      <c r="F10" s="407"/>
      <c r="G10" s="407"/>
      <c r="H10" s="407"/>
      <c r="I10" s="407"/>
      <c r="J10" s="407"/>
      <c r="K10" s="407"/>
      <c r="L10" s="407"/>
      <c r="M10" s="408"/>
    </row>
    <row r="11" spans="1:16" customFormat="1" ht="15.75" x14ac:dyDescent="0.25">
      <c r="A11" s="396"/>
      <c r="B11" s="409" t="s">
        <v>110</v>
      </c>
      <c r="C11" s="410" t="s">
        <v>328</v>
      </c>
      <c r="D11" s="411">
        <v>41639</v>
      </c>
      <c r="E11" s="411">
        <v>42004</v>
      </c>
      <c r="F11" s="411">
        <v>42369</v>
      </c>
      <c r="G11" s="411">
        <f>F11+365</f>
        <v>42734</v>
      </c>
      <c r="H11" s="411">
        <f>G11+366</f>
        <v>43100</v>
      </c>
      <c r="I11" s="411">
        <f t="shared" ref="I11:J11" si="2">H11+365</f>
        <v>43465</v>
      </c>
      <c r="J11" s="411">
        <f t="shared" si="2"/>
        <v>43830</v>
      </c>
      <c r="K11" s="411">
        <f>J11+366</f>
        <v>44196</v>
      </c>
      <c r="L11" s="411">
        <f>K11+365</f>
        <v>44561</v>
      </c>
      <c r="M11" s="412">
        <f t="shared" ref="M11" si="3">L11+365</f>
        <v>44926</v>
      </c>
    </row>
    <row r="12" spans="1:16" customFormat="1" ht="15.75" x14ac:dyDescent="0.25">
      <c r="A12" s="396"/>
      <c r="B12" s="389" t="s">
        <v>340</v>
      </c>
      <c r="C12" s="6" t="str">
        <f>_xll.ciqfunctions.udf.CIQ(B12, "IQ_COMPANY_NAME")</f>
        <v>MasTec, Inc.</v>
      </c>
      <c r="D12" s="402">
        <f>_xll.ciqfunctions.udf.CIQ($B12, "IQ_TOTAL_DEBT_CAPITAL", IQ_FY, D$11)/100</f>
        <v>0.44442999999999999</v>
      </c>
      <c r="E12" s="402">
        <f>_xll.ciqfunctions.udf.CIQ($B12, "IQ_TOTAL_DEBT_CAPITAL", IQ_FY, E$11)/100</f>
        <v>0.49709000000000003</v>
      </c>
      <c r="F12" s="402">
        <f>_xll.ciqfunctions.udf.CIQ($B12, "IQ_TOTAL_DEBT_CAPITAL", IQ_FY, F$11)/100</f>
        <v>0.51711499999999999</v>
      </c>
      <c r="G12" s="402">
        <f>_xll.ciqfunctions.udf.CIQ($B12, "IQ_TOTAL_DEBT_CAPITAL", IQ_FY, G$11)/100</f>
        <v>0.51711499999999999</v>
      </c>
      <c r="H12" s="402">
        <f>_xll.ciqfunctions.udf.CIQ($B12, "IQ_TOTAL_DEBT_CAPITAL", IQ_FY, H$11)/100</f>
        <v>0.48843899999999996</v>
      </c>
      <c r="I12" s="402">
        <f>_xll.ciqfunctions.udf.CIQ($B12, "IQ_TOTAL_DEBT_CAPITAL", IQ_FY, I$11)/100</f>
        <v>0.50265300000000002</v>
      </c>
      <c r="J12" s="402">
        <f>_xll.ciqfunctions.udf.CIQ($B12, "IQ_TOTAL_DEBT_CAPITAL", IQ_FY, J$11)/100</f>
        <v>0.482209</v>
      </c>
      <c r="K12" s="402">
        <f>_xll.ciqfunctions.udf.CIQ($B12, "IQ_TOTAL_DEBT_CAPITAL", IQ_FY, K$11)/100</f>
        <v>0.42654200000000003</v>
      </c>
      <c r="L12" s="402">
        <f>_xll.ciqfunctions.udf.CIQ($B12, "IQ_TOTAL_DEBT_CAPITAL", IQ_FY, L$11)/100</f>
        <v>0.47329900000000003</v>
      </c>
      <c r="M12" s="403">
        <f>_xll.ciqfunctions.udf.CIQ($B12, "IQ_TOTAL_DEBT_CAPITAL", IQ_FY, M$11)/100</f>
        <v>0.56182100000000001</v>
      </c>
    </row>
    <row r="13" spans="1:16" customFormat="1" ht="15.75" x14ac:dyDescent="0.25">
      <c r="A13" s="396"/>
      <c r="B13" s="389" t="s">
        <v>342</v>
      </c>
      <c r="C13" s="6" t="str">
        <f>_xll.ciqfunctions.udf.CIQ(B13, "IQ_COMPANY_NAME")</f>
        <v>MYR Group Inc.</v>
      </c>
      <c r="D13" s="402">
        <f>_xll.ciqfunctions.udf.CIQ($B13, "IQ_TOTAL_DEBT_CAPITAL", IQ_FY, D$11)/100</f>
        <v>0</v>
      </c>
      <c r="E13" s="402">
        <f>_xll.ciqfunctions.udf.CIQ($B13, "IQ_TOTAL_DEBT_CAPITAL", IQ_FY, E$11)/100</f>
        <v>0</v>
      </c>
      <c r="F13" s="402">
        <f>_xll.ciqfunctions.udf.CIQ($B13, "IQ_TOTAL_DEBT_CAPITAL", IQ_FY, F$11)/100</f>
        <v>0</v>
      </c>
      <c r="G13" s="402">
        <f>_xll.ciqfunctions.udf.CIQ($B13, "IQ_TOTAL_DEBT_CAPITAL", IQ_FY, G$11)/100</f>
        <v>0</v>
      </c>
      <c r="H13" s="402">
        <f>_xll.ciqfunctions.udf.CIQ($B13, "IQ_TOTAL_DEBT_CAPITAL", IQ_FY, H$11)/100</f>
        <v>0.22361799999999998</v>
      </c>
      <c r="I13" s="402">
        <f>_xll.ciqfunctions.udf.CIQ($B13, "IQ_TOTAL_DEBT_CAPITAL", IQ_FY, I$11)/100</f>
        <v>0.22170100000000001</v>
      </c>
      <c r="J13" s="402">
        <f>_xll.ciqfunctions.udf.CIQ($B13, "IQ_TOTAL_DEBT_CAPITAL", IQ_FY, J$11)/100</f>
        <v>0.34312300000000001</v>
      </c>
      <c r="K13" s="402">
        <f>_xll.ciqfunctions.udf.CIQ($B13, "IQ_TOTAL_DEBT_CAPITAL", IQ_FY, K$11)/100</f>
        <v>0.10819000000000001</v>
      </c>
      <c r="L13" s="402">
        <f>_xll.ciqfunctions.udf.CIQ($B13, "IQ_TOTAL_DEBT_CAPITAL", IQ_FY, L$11)/100</f>
        <v>4.6819E-2</v>
      </c>
      <c r="M13" s="403">
        <f>_xll.ciqfunctions.udf.CIQ($B13, "IQ_TOTAL_DEBT_CAPITAL", IQ_FY, M$11)/100</f>
        <v>0.11744599999999999</v>
      </c>
    </row>
    <row r="14" spans="1:16" customFormat="1" ht="15.75" x14ac:dyDescent="0.25">
      <c r="A14" s="396"/>
      <c r="B14" s="392" t="s">
        <v>341</v>
      </c>
      <c r="C14" s="393" t="str">
        <f>_xll.ciqfunctions.udf.CIQ(B14, "IQ_COMPANY_NAME")</f>
        <v>Quanta Services, Inc.</v>
      </c>
      <c r="D14" s="404">
        <f>_xll.ciqfunctions.udf.CIQ($B14, "IQ_TOTAL_DEBT_CAPITAL", IQ_FY, D$11)/100</f>
        <v>5.2599999999999999E-4</v>
      </c>
      <c r="E14" s="404">
        <f>_xll.ciqfunctions.udf.CIQ($B14, "IQ_TOTAL_DEBT_CAPITAL", IQ_FY, E$11)/100</f>
        <v>1.7661E-2</v>
      </c>
      <c r="F14" s="404">
        <f>_xll.ciqfunctions.udf.CIQ($B14, "IQ_TOTAL_DEBT_CAPITAL", IQ_FY, F$11)/100</f>
        <v>0.135125</v>
      </c>
      <c r="G14" s="404">
        <f>_xll.ciqfunctions.udf.CIQ($B14, "IQ_TOTAL_DEBT_CAPITAL", IQ_FY, G$11)/100</f>
        <v>0.135125</v>
      </c>
      <c r="H14" s="404">
        <f>_xll.ciqfunctions.udf.CIQ($B14, "IQ_TOTAL_DEBT_CAPITAL", IQ_FY, H$11)/100</f>
        <v>0.15040400000000001</v>
      </c>
      <c r="I14" s="404">
        <f>_xll.ciqfunctions.udf.CIQ($B14, "IQ_TOTAL_DEBT_CAPITAL", IQ_FY, I$11)/100</f>
        <v>0.23477599999999998</v>
      </c>
      <c r="J14" s="404">
        <f>_xll.ciqfunctions.udf.CIQ($B14, "IQ_TOTAL_DEBT_CAPITAL", IQ_FY, J$11)/100</f>
        <v>0.29003299999999999</v>
      </c>
      <c r="K14" s="404">
        <f>_xll.ciqfunctions.udf.CIQ($B14, "IQ_TOTAL_DEBT_CAPITAL", IQ_FY, K$11)/100</f>
        <v>0.25043299999999996</v>
      </c>
      <c r="L14" s="404">
        <f>_xll.ciqfunctions.udf.CIQ($B14, "IQ_TOTAL_DEBT_CAPITAL", IQ_FY, L$11)/100</f>
        <v>0.43888700000000003</v>
      </c>
      <c r="M14" s="405">
        <f>_xll.ciqfunctions.udf.CIQ($B14, "IQ_TOTAL_DEBT_CAPITAL", IQ_FY, M$11)/100</f>
        <v>0.42408299999999999</v>
      </c>
    </row>
    <row r="15" spans="1:16" customFormat="1" ht="15.75" x14ac:dyDescent="0.25">
      <c r="A15" s="396"/>
      <c r="B15" s="6"/>
      <c r="C15" s="6"/>
      <c r="D15" s="6"/>
      <c r="E15" s="6"/>
      <c r="F15" s="6"/>
      <c r="G15" s="6"/>
      <c r="H15" s="6"/>
      <c r="I15" s="6"/>
      <c r="J15" s="6"/>
      <c r="K15" s="6"/>
      <c r="L15" s="6"/>
      <c r="M15" s="6"/>
    </row>
    <row r="16" spans="1:16" ht="15.75" customHeight="1" x14ac:dyDescent="0.25">
      <c r="B16" s="406" t="s">
        <v>337</v>
      </c>
      <c r="C16" s="407"/>
      <c r="D16" s="407"/>
      <c r="E16" s="407"/>
      <c r="F16" s="407"/>
      <c r="G16" s="407"/>
      <c r="H16" s="407"/>
      <c r="I16" s="407"/>
      <c r="J16" s="407"/>
      <c r="K16" s="407"/>
      <c r="L16" s="407"/>
      <c r="M16" s="408"/>
    </row>
    <row r="17" spans="2:13" ht="15.75" customHeight="1" x14ac:dyDescent="0.25">
      <c r="B17" s="409" t="s">
        <v>110</v>
      </c>
      <c r="C17" s="410" t="s">
        <v>328</v>
      </c>
      <c r="D17" s="411">
        <v>41639</v>
      </c>
      <c r="E17" s="411">
        <v>42004</v>
      </c>
      <c r="F17" s="411">
        <v>42369</v>
      </c>
      <c r="G17" s="411">
        <f>F17+365</f>
        <v>42734</v>
      </c>
      <c r="H17" s="411">
        <f>G17+366</f>
        <v>43100</v>
      </c>
      <c r="I17" s="411">
        <f t="shared" ref="I17:J17" si="4">H17+365</f>
        <v>43465</v>
      </c>
      <c r="J17" s="411">
        <f t="shared" si="4"/>
        <v>43830</v>
      </c>
      <c r="K17" s="411">
        <f>J17+366</f>
        <v>44196</v>
      </c>
      <c r="L17" s="411">
        <f>K17+365</f>
        <v>44561</v>
      </c>
      <c r="M17" s="412">
        <f t="shared" ref="M17" si="5">L17+365</f>
        <v>44926</v>
      </c>
    </row>
    <row r="18" spans="2:13" ht="15.75" customHeight="1" x14ac:dyDescent="0.25">
      <c r="B18" s="389" t="s">
        <v>340</v>
      </c>
      <c r="C18" s="6" t="str">
        <f>_xll.ciqfunctions.udf.CIQ(B18, "IQ_COMPANY_NAME")</f>
        <v>MasTec, Inc.</v>
      </c>
      <c r="D18" s="390">
        <f>_xll.ciqfunctions.udf.CIQ($B18, "IQ_EBITDA_INT", IQ_FY, D$17)</f>
        <v>9.1567000000000007</v>
      </c>
      <c r="E18" s="390">
        <f>_xll.ciqfunctions.udf.CIQ($B18, "IQ_EBITDA_INT", IQ_FY, E$17)</f>
        <v>7.89527</v>
      </c>
      <c r="F18" s="390">
        <f>_xll.ciqfunctions.udf.CIQ($B18, "IQ_EBITDA_INT", IQ_FY, F$17)</f>
        <v>4.9717399999999996</v>
      </c>
      <c r="G18" s="390">
        <f>_xll.ciqfunctions.udf.CIQ($B18, "IQ_EBITDA_INT", IQ_FY, G$17)</f>
        <v>4.9717399999999996</v>
      </c>
      <c r="H18" s="390">
        <f>_xll.ciqfunctions.udf.CIQ($B18, "IQ_EBITDA_INT", IQ_FY, H$17)</f>
        <v>9.6239699999999999</v>
      </c>
      <c r="I18" s="390">
        <f>_xll.ciqfunctions.udf.CIQ($B18, "IQ_EBITDA_INT", IQ_FY, I$17)</f>
        <v>8.2696199999999997</v>
      </c>
      <c r="J18" s="390">
        <f>_xll.ciqfunctions.udf.CIQ($B18, "IQ_EBITDA_INT", IQ_FY, J$17)</f>
        <v>18.049530000000001</v>
      </c>
      <c r="K18" s="390">
        <f>_xll.ciqfunctions.udf.CIQ($B18, "IQ_EBITDA_INT", IQ_FY, K$17)</f>
        <v>19.690339999999999</v>
      </c>
      <c r="L18" s="390">
        <f>_xll.ciqfunctions.udf.CIQ($B18, "IQ_EBITDA_INT", IQ_FY, L$17)</f>
        <v>27.11842</v>
      </c>
      <c r="M18" s="391">
        <f>_xll.ciqfunctions.udf.CIQ($B18, "IQ_EBITDA_INT", IQ_FY, M$17)</f>
        <v>11.06826</v>
      </c>
    </row>
    <row r="19" spans="2:13" ht="15.75" customHeight="1" x14ac:dyDescent="0.25">
      <c r="B19" s="389" t="s">
        <v>342</v>
      </c>
      <c r="C19" s="6" t="str">
        <f>_xll.ciqfunctions.udf.CIQ(B19, "IQ_COMPANY_NAME")</f>
        <v>MYR Group Inc.</v>
      </c>
      <c r="D19" s="390">
        <f>_xll.ciqfunctions.udf.CIQ($B19, "IQ_EBITDA_INT", IQ_FY, D$17)</f>
        <v>115.43191</v>
      </c>
      <c r="E19" s="390">
        <f>_xll.ciqfunctions.udf.CIQ($B19, "IQ_EBITDA_INT", IQ_FY, E$17)</f>
        <v>123.80194</v>
      </c>
      <c r="F19" s="390">
        <f>_xll.ciqfunctions.udf.CIQ($B19, "IQ_EBITDA_INT", IQ_FY, F$17)</f>
        <v>109.05938</v>
      </c>
      <c r="G19" s="390">
        <f>_xll.ciqfunctions.udf.CIQ($B19, "IQ_EBITDA_INT", IQ_FY, G$17)</f>
        <v>109.05938</v>
      </c>
      <c r="H19" s="390">
        <f>_xll.ciqfunctions.udf.CIQ($B19, "IQ_EBITDA_INT", IQ_FY, H$17)</f>
        <v>24.767579999999999</v>
      </c>
      <c r="I19" s="390">
        <f>_xll.ciqfunctions.udf.CIQ($B19, "IQ_EBITDA_INT", IQ_FY, I$17)</f>
        <v>23.65635</v>
      </c>
      <c r="J19" s="390">
        <f>_xll.ciqfunctions.udf.CIQ($B19, "IQ_EBITDA_INT", IQ_FY, J$17)</f>
        <v>16.98394</v>
      </c>
      <c r="K19" s="390">
        <f>_xll.ciqfunctions.udf.CIQ($B19, "IQ_EBITDA_INT", IQ_FY, K$17)</f>
        <v>30.659220000000001</v>
      </c>
      <c r="L19" s="390">
        <f>_xll.ciqfunctions.udf.CIQ($B19, "IQ_EBITDA_INT", IQ_FY, L$17)</f>
        <v>95.720399999999998</v>
      </c>
      <c r="M19" s="391">
        <f>_xll.ciqfunctions.udf.CIQ($B19, "IQ_EBITDA_INT", IQ_FY, M$17)</f>
        <v>51.793990000000001</v>
      </c>
    </row>
    <row r="20" spans="2:13" ht="15.75" customHeight="1" x14ac:dyDescent="0.25">
      <c r="B20" s="392" t="s">
        <v>341</v>
      </c>
      <c r="C20" s="393" t="str">
        <f>_xll.ciqfunctions.udf.CIQ(B20, "IQ_COMPANY_NAME")</f>
        <v>Quanta Services, Inc.</v>
      </c>
      <c r="D20" s="394">
        <f>_xll.ciqfunctions.udf.CIQ($B20, "IQ_EBITDA_INT", IQ_FY, D$17)</f>
        <v>232.64393000000001</v>
      </c>
      <c r="E20" s="394">
        <f>_xll.ciqfunctions.udf.CIQ($B20, "IQ_EBITDA_INT", IQ_FY, E$17)</f>
        <v>137.42349999999999</v>
      </c>
      <c r="F20" s="394">
        <f>_xll.ciqfunctions.udf.CIQ($B20, "IQ_EBITDA_INT", IQ_FY, F$17)</f>
        <v>61.969970000000004</v>
      </c>
      <c r="G20" s="394">
        <f>_xll.ciqfunctions.udf.CIQ($B20, "IQ_EBITDA_INT", IQ_FY, G$17)</f>
        <v>61.969970000000004</v>
      </c>
      <c r="H20" s="394">
        <f>_xll.ciqfunctions.udf.CIQ($B20, "IQ_EBITDA_INT", IQ_FY, H$17)</f>
        <v>30.924659999999999</v>
      </c>
      <c r="I20" s="394">
        <f>_xll.ciqfunctions.udf.CIQ($B20, "IQ_EBITDA_INT", IQ_FY, I$17)</f>
        <v>22.328029999999998</v>
      </c>
      <c r="J20" s="394">
        <f>_xll.ciqfunctions.udf.CIQ($B20, "IQ_EBITDA_INT", IQ_FY, J$17)</f>
        <v>27.479130000000001</v>
      </c>
      <c r="K20" s="394">
        <f>_xll.ciqfunctions.udf.CIQ($B20, "IQ_EBITDA_INT", IQ_FY, K$17)</f>
        <v>37.736879999999999</v>
      </c>
      <c r="L20" s="394">
        <f>_xll.ciqfunctions.udf.CIQ($B20, "IQ_EBITDA_INT", IQ_FY, L$17)</f>
        <v>27.404199999999999</v>
      </c>
      <c r="M20" s="395">
        <f>_xll.ciqfunctions.udf.CIQ($B20, "IQ_EBITDA_INT", IQ_FY, M$17)</f>
        <v>20.464700000000001</v>
      </c>
    </row>
    <row r="21" spans="2:13" ht="15.75" customHeight="1" x14ac:dyDescent="0.25">
      <c r="B21" s="6"/>
      <c r="C21" s="6"/>
      <c r="D21" s="6"/>
      <c r="E21" s="6"/>
      <c r="F21" s="6"/>
      <c r="G21" s="6"/>
      <c r="H21" s="6"/>
      <c r="I21" s="6"/>
      <c r="J21" s="6"/>
      <c r="K21" s="6"/>
      <c r="L21" s="6"/>
      <c r="M21" s="6"/>
    </row>
    <row r="22" spans="2:13" ht="15.75" customHeight="1" x14ac:dyDescent="0.25">
      <c r="B22" s="406" t="s">
        <v>210</v>
      </c>
      <c r="C22" s="407"/>
      <c r="D22" s="407"/>
      <c r="E22" s="407"/>
      <c r="F22" s="407"/>
      <c r="G22" s="407"/>
      <c r="H22" s="407"/>
      <c r="I22" s="407"/>
      <c r="J22" s="407"/>
      <c r="K22" s="407"/>
      <c r="L22" s="407"/>
      <c r="M22" s="408"/>
    </row>
    <row r="23" spans="2:13" ht="15.75" customHeight="1" x14ac:dyDescent="0.25">
      <c r="B23" s="409" t="s">
        <v>110</v>
      </c>
      <c r="C23" s="410" t="s">
        <v>328</v>
      </c>
      <c r="D23" s="411">
        <v>41639</v>
      </c>
      <c r="E23" s="411">
        <v>42004</v>
      </c>
      <c r="F23" s="411">
        <v>42369</v>
      </c>
      <c r="G23" s="411">
        <f>F23+365</f>
        <v>42734</v>
      </c>
      <c r="H23" s="411">
        <f>G23+366</f>
        <v>43100</v>
      </c>
      <c r="I23" s="411">
        <f t="shared" ref="I23:J23" si="6">H23+365</f>
        <v>43465</v>
      </c>
      <c r="J23" s="411">
        <f t="shared" si="6"/>
        <v>43830</v>
      </c>
      <c r="K23" s="411">
        <f>J23+366</f>
        <v>44196</v>
      </c>
      <c r="L23" s="411">
        <f>K23+365</f>
        <v>44561</v>
      </c>
      <c r="M23" s="412">
        <f t="shared" ref="M23" si="7">L23+365</f>
        <v>44926</v>
      </c>
    </row>
    <row r="24" spans="2:13" ht="15.75" customHeight="1" x14ac:dyDescent="0.25">
      <c r="B24" s="389" t="s">
        <v>340</v>
      </c>
      <c r="C24" s="6" t="str">
        <f>_xll.ciqfunctions.udf.CIQ(B24, "IQ_COMPANY_NAME")</f>
        <v>MasTec, Inc.</v>
      </c>
      <c r="D24" s="390">
        <f>_xll.ciqfunctions.udf.CIQ($B24, "IQ_TOTAL_DEBT_EBITDA", IQ_FY, D$23)</f>
        <v>1.9043300000000001</v>
      </c>
      <c r="E24" s="390">
        <f>_xll.ciqfunctions.udf.CIQ($B24, "IQ_TOTAL_DEBT_EBITDA", IQ_FY, E$23)</f>
        <v>2.83107</v>
      </c>
      <c r="F24" s="390">
        <f>_xll.ciqfunctions.udf.CIQ($B24, "IQ_TOTAL_DEBT_EBITDA", IQ_FY, F$23)</f>
        <v>4.2285300000000001</v>
      </c>
      <c r="G24" s="390">
        <f>_xll.ciqfunctions.udf.CIQ($B24, "IQ_TOTAL_DEBT_EBITDA", IQ_FY, G$23)</f>
        <v>4.2285300000000001</v>
      </c>
      <c r="H24" s="390">
        <f>_xll.ciqfunctions.udf.CIQ($B24, "IQ_TOTAL_DEBT_EBITDA", IQ_FY, H$23)</f>
        <v>2.3308</v>
      </c>
      <c r="I24" s="390">
        <f>_xll.ciqfunctions.udf.CIQ($B24, "IQ_TOTAL_DEBT_EBITDA", IQ_FY, I$23)</f>
        <v>2.0603600000000002</v>
      </c>
      <c r="J24" s="390">
        <f>_xll.ciqfunctions.udf.CIQ($B24, "IQ_TOTAL_DEBT_EBITDA", IQ_FY, J$23)</f>
        <v>1.20017</v>
      </c>
      <c r="K24" s="390">
        <f>_xll.ciqfunctions.udf.CIQ($B24, "IQ_TOTAL_DEBT_EBITDA", IQ_FY, K$23)</f>
        <v>1.27051</v>
      </c>
      <c r="L24" s="390">
        <f>_xll.ciqfunctions.udf.CIQ($B24, "IQ_TOTAL_DEBT_EBITDA", IQ_FY, L$23)</f>
        <v>1.5781799999999999</v>
      </c>
      <c r="M24" s="391">
        <f>_xll.ciqfunctions.udf.CIQ($B24, "IQ_TOTAL_DEBT_EBITDA", IQ_FY, M$23)</f>
        <v>2.8287900000000001</v>
      </c>
    </row>
    <row r="25" spans="2:13" ht="15.75" customHeight="1" x14ac:dyDescent="0.25">
      <c r="B25" s="389" t="s">
        <v>342</v>
      </c>
      <c r="C25" s="6" t="str">
        <f>_xll.ciqfunctions.udf.CIQ(B25, "IQ_COMPANY_NAME")</f>
        <v>MYR Group Inc.</v>
      </c>
      <c r="D25" s="390">
        <f>_xll.ciqfunctions.udf.CIQ($B25, "IQ_TOTAL_DEBT_EBITDA", IQ_FY, D$23)</f>
        <v>0</v>
      </c>
      <c r="E25" s="390">
        <f>_xll.ciqfunctions.udf.CIQ($B25, "IQ_TOTAL_DEBT_EBITDA", IQ_FY, E$23)</f>
        <v>0</v>
      </c>
      <c r="F25" s="390">
        <f>_xll.ciqfunctions.udf.CIQ($B25, "IQ_TOTAL_DEBT_EBITDA", IQ_FY, F$23)</f>
        <v>0</v>
      </c>
      <c r="G25" s="390">
        <f>_xll.ciqfunctions.udf.CIQ($B25, "IQ_TOTAL_DEBT_EBITDA", IQ_FY, G$23)</f>
        <v>0</v>
      </c>
      <c r="H25" s="390">
        <f>_xll.ciqfunctions.udf.CIQ($B25, "IQ_TOTAL_DEBT_EBITDA", IQ_FY, H$23)</f>
        <v>1.2823800000000001</v>
      </c>
      <c r="I25" s="390">
        <f>_xll.ciqfunctions.udf.CIQ($B25, "IQ_TOTAL_DEBT_EBITDA", IQ_FY, I$23)</f>
        <v>1.06982</v>
      </c>
      <c r="J25" s="390">
        <f>_xll.ciqfunctions.udf.CIQ($B25, "IQ_TOTAL_DEBT_EBITDA", IQ_FY, J$23)</f>
        <v>1.80077</v>
      </c>
      <c r="K25" s="390">
        <f>_xll.ciqfunctions.udf.CIQ($B25, "IQ_TOTAL_DEBT_EBITDA", IQ_FY, K$23)</f>
        <v>0.37226999999999999</v>
      </c>
      <c r="L25" s="390">
        <f>_xll.ciqfunctions.udf.CIQ($B25, "IQ_TOTAL_DEBT_EBITDA", IQ_FY, L$23)</f>
        <v>0.14807000000000001</v>
      </c>
      <c r="M25" s="391">
        <f>_xll.ciqfunctions.udf.CIQ($B25, "IQ_TOTAL_DEBT_EBITDA", IQ_FY, M$23)</f>
        <v>0.40397</v>
      </c>
    </row>
    <row r="26" spans="2:13" ht="15.75" customHeight="1" x14ac:dyDescent="0.25">
      <c r="B26" s="392" t="s">
        <v>341</v>
      </c>
      <c r="C26" s="393" t="str">
        <f>_xll.ciqfunctions.udf.CIQ(B26, "IQ_COMPANY_NAME")</f>
        <v>Quanta Services, Inc.</v>
      </c>
      <c r="D26" s="394">
        <f>_xll.ciqfunctions.udf.CIQ($B26, "IQ_TOTAL_DEBT_EBITDA", IQ_FY, D$23)</f>
        <v>3.5999999999999999E-3</v>
      </c>
      <c r="E26" s="394">
        <f>_xll.ciqfunctions.udf.CIQ($B26, "IQ_TOTAL_DEBT_EBITDA", IQ_FY, E$23)</f>
        <v>0.12425</v>
      </c>
      <c r="F26" s="394">
        <f>_xll.ciqfunctions.udf.CIQ($B26, "IQ_TOTAL_DEBT_EBITDA", IQ_FY, F$23)</f>
        <v>0.97019999999999995</v>
      </c>
      <c r="G26" s="394">
        <f>_xll.ciqfunctions.udf.CIQ($B26, "IQ_TOTAL_DEBT_EBITDA", IQ_FY, G$23)</f>
        <v>0.97019999999999995</v>
      </c>
      <c r="H26" s="394">
        <f>_xll.ciqfunctions.udf.CIQ($B26, "IQ_TOTAL_DEBT_EBITDA", IQ_FY, H$23)</f>
        <v>1.03735</v>
      </c>
      <c r="I26" s="394">
        <f>_xll.ciqfunctions.udf.CIQ($B26, "IQ_TOTAL_DEBT_EBITDA", IQ_FY, I$23)</f>
        <v>1.34097</v>
      </c>
      <c r="J26" s="394">
        <f>_xll.ciqfunctions.udf.CIQ($B26, "IQ_TOTAL_DEBT_EBITDA", IQ_FY, J$23)</f>
        <v>0.90097000000000005</v>
      </c>
      <c r="K26" s="394">
        <f>_xll.ciqfunctions.udf.CIQ($B26, "IQ_TOTAL_DEBT_EBITDA", IQ_FY, K$23)</f>
        <v>0.85538999999999998</v>
      </c>
      <c r="L26" s="394">
        <f>_xll.ciqfunctions.udf.CIQ($B26, "IQ_TOTAL_DEBT_EBITDA", IQ_FY, L$23)</f>
        <v>2.1197300000000001</v>
      </c>
      <c r="M26" s="395">
        <f>_xll.ciqfunctions.udf.CIQ($B26, "IQ_TOTAL_DEBT_EBITDA", IQ_FY, M$23)</f>
        <v>1.5620499999999999</v>
      </c>
    </row>
    <row r="27" spans="2:13" ht="15.75" customHeight="1" x14ac:dyDescent="0.25">
      <c r="B27" s="6"/>
      <c r="C27" s="6"/>
      <c r="D27" s="6"/>
      <c r="E27" s="6"/>
      <c r="F27" s="6"/>
      <c r="G27" s="6"/>
      <c r="H27" s="6"/>
      <c r="I27" s="6"/>
      <c r="J27" s="6"/>
      <c r="K27" s="6"/>
      <c r="L27" s="6"/>
      <c r="M27" s="6"/>
    </row>
    <row r="28" spans="2:13" ht="15.75" customHeight="1" x14ac:dyDescent="0.25">
      <c r="B28" s="406" t="s">
        <v>338</v>
      </c>
      <c r="C28" s="407"/>
      <c r="D28" s="407"/>
      <c r="E28" s="407"/>
      <c r="F28" s="407"/>
      <c r="G28" s="407"/>
      <c r="H28" s="407"/>
      <c r="I28" s="407"/>
      <c r="J28" s="407"/>
      <c r="K28" s="407"/>
      <c r="L28" s="407"/>
      <c r="M28" s="408"/>
    </row>
    <row r="29" spans="2:13" ht="15.75" customHeight="1" x14ac:dyDescent="0.25">
      <c r="B29" s="409" t="s">
        <v>110</v>
      </c>
      <c r="C29" s="410" t="s">
        <v>328</v>
      </c>
      <c r="D29" s="411">
        <v>41639</v>
      </c>
      <c r="E29" s="411">
        <v>42004</v>
      </c>
      <c r="F29" s="411">
        <v>42369</v>
      </c>
      <c r="G29" s="411">
        <f>F29+365</f>
        <v>42734</v>
      </c>
      <c r="H29" s="411">
        <f>G29+366</f>
        <v>43100</v>
      </c>
      <c r="I29" s="411">
        <f t="shared" ref="I29:J29" si="8">H29+365</f>
        <v>43465</v>
      </c>
      <c r="J29" s="411">
        <f t="shared" si="8"/>
        <v>43830</v>
      </c>
      <c r="K29" s="411">
        <f>J29+366</f>
        <v>44196</v>
      </c>
      <c r="L29" s="411">
        <f>K29+365</f>
        <v>44561</v>
      </c>
      <c r="M29" s="412">
        <f t="shared" ref="M29" si="9">L29+365</f>
        <v>44926</v>
      </c>
    </row>
    <row r="30" spans="2:13" ht="15.75" customHeight="1" x14ac:dyDescent="0.25">
      <c r="B30" s="389" t="s">
        <v>340</v>
      </c>
      <c r="C30" s="6" t="str">
        <f>_xll.ciqfunctions.udf.CIQ(B30, "IQ_COMPANY_NAME")</f>
        <v>MasTec, Inc.</v>
      </c>
      <c r="D30" s="390">
        <f>_xll.ciqfunctions.udf.CIQ($B30, "IQ_NET_DEBT_EBITDA", IQ_FY, D$29, , , "USD")</f>
        <v>1.8508800000000001</v>
      </c>
      <c r="E30" s="390">
        <f>_xll.ciqfunctions.udf.CIQ($B30, "IQ_NET_DEBT_EBITDA", IQ_FY, E$29, , , "USD")</f>
        <v>2.7710400000000002</v>
      </c>
      <c r="F30" s="390">
        <f>_xll.ciqfunctions.udf.CIQ($B30, "IQ_NET_DEBT_EBITDA", IQ_FY, F$29, , , "USD")</f>
        <v>4.2076700000000002</v>
      </c>
      <c r="G30" s="390">
        <f>_xll.ciqfunctions.udf.CIQ($B30, "IQ_NET_DEBT_EBITDA", IQ_FY, G$29, , , "USD")</f>
        <v>4.2076700000000002</v>
      </c>
      <c r="H30" s="390">
        <f>_xll.ciqfunctions.udf.CIQ($B30, "IQ_NET_DEBT_EBITDA", IQ_FY, H$29, , , "USD")</f>
        <v>2.2621199999999999</v>
      </c>
      <c r="I30" s="390">
        <f>_xll.ciqfunctions.udf.CIQ($B30, "IQ_NET_DEBT_EBITDA", IQ_FY, I$29, , , "USD")</f>
        <v>2.0202</v>
      </c>
      <c r="J30" s="390">
        <f>_xll.ciqfunctions.udf.CIQ($B30, "IQ_NET_DEBT_EBITDA", IQ_FY, J$29, , , "USD")</f>
        <v>1.14879</v>
      </c>
      <c r="K30" s="390">
        <f>_xll.ciqfunctions.udf.CIQ($B30, "IQ_NET_DEBT_EBITDA", IQ_FY, K$29, , , "USD")</f>
        <v>0.89566000000000001</v>
      </c>
      <c r="L30" s="390">
        <f>_xll.ciqfunctions.udf.CIQ($B30, "IQ_NET_DEBT_EBITDA", IQ_FY, L$29, , , "USD")</f>
        <v>1.32368</v>
      </c>
      <c r="M30" s="391">
        <f>_xll.ciqfunctions.udf.CIQ($B30, "IQ_NET_DEBT_EBITDA", IQ_FY, M$29, , , "USD")</f>
        <v>2.5303499999999999</v>
      </c>
    </row>
    <row r="31" spans="2:13" ht="15.75" customHeight="1" x14ac:dyDescent="0.25">
      <c r="B31" s="389" t="s">
        <v>342</v>
      </c>
      <c r="C31" s="6" t="str">
        <f>_xll.ciqfunctions.udf.CIQ(B31, "IQ_COMPANY_NAME")</f>
        <v>MYR Group Inc.</v>
      </c>
      <c r="D31" s="390"/>
      <c r="E31" s="390"/>
      <c r="F31" s="390"/>
      <c r="G31" s="390"/>
      <c r="H31" s="390">
        <f>_xll.ciqfunctions.udf.CIQ($B31, "IQ_NET_DEBT_EBITDA", IQ_FY, H$29, , , "USD")</f>
        <v>1.1995</v>
      </c>
      <c r="I31" s="390">
        <f>_xll.ciqfunctions.udf.CIQ($B31, "IQ_NET_DEBT_EBITDA", IQ_FY, I$29, , , "USD")</f>
        <v>0.98292999999999997</v>
      </c>
      <c r="J31" s="390">
        <f>_xll.ciqfunctions.udf.CIQ($B31, "IQ_NET_DEBT_EBITDA", IQ_FY, J$29, , , "USD")</f>
        <v>1.6835100000000001</v>
      </c>
      <c r="K31" s="390">
        <f>_xll.ciqfunctions.udf.CIQ($B31, "IQ_NET_DEBT_EBITDA", IQ_FY, K$29, , , "USD")</f>
        <v>0.21024000000000001</v>
      </c>
      <c r="L31" s="390"/>
      <c r="M31" s="391">
        <f>_xll.ciqfunctions.udf.CIQ($B31, "IQ_NET_DEBT_EBITDA", IQ_FY, M$29, , , "USD")</f>
        <v>0.12739</v>
      </c>
    </row>
    <row r="32" spans="2:13" ht="15.75" customHeight="1" x14ac:dyDescent="0.25">
      <c r="B32" s="392" t="s">
        <v>341</v>
      </c>
      <c r="C32" s="393" t="str">
        <f>_xll.ciqfunctions.udf.CIQ(B32, "IQ_COMPANY_NAME")</f>
        <v>Quanta Services, Inc.</v>
      </c>
      <c r="D32" s="394"/>
      <c r="E32" s="394"/>
      <c r="F32" s="394">
        <f>_xll.ciqfunctions.udf.CIQ($B32, "IQ_NET_DEBT_EBITDA", IQ_FY, F$29, , , "USD")</f>
        <v>0.71123999999999998</v>
      </c>
      <c r="G32" s="394">
        <f>_xll.ciqfunctions.udf.CIQ($B32, "IQ_NET_DEBT_EBITDA", IQ_FY, G$29, , , "USD")</f>
        <v>0.71123999999999998</v>
      </c>
      <c r="H32" s="394">
        <f>_xll.ciqfunctions.udf.CIQ($B32, "IQ_NET_DEBT_EBITDA", IQ_FY, H$29, , , "USD")</f>
        <v>0.82386000000000004</v>
      </c>
      <c r="I32" s="394">
        <f>_xll.ciqfunctions.udf.CIQ($B32, "IQ_NET_DEBT_EBITDA", IQ_FY, I$29, , , "USD")</f>
        <v>1.2455799999999999</v>
      </c>
      <c r="J32" s="394">
        <f>_xll.ciqfunctions.udf.CIQ($B32, "IQ_NET_DEBT_EBITDA", IQ_FY, J$29, , , "USD")</f>
        <v>0.81132000000000004</v>
      </c>
      <c r="K32" s="394">
        <f>_xll.ciqfunctions.udf.CIQ($B32, "IQ_NET_DEBT_EBITDA", IQ_FY, K$29, , , "USD")</f>
        <v>0.74670999999999998</v>
      </c>
      <c r="L32" s="394">
        <f>_xll.ciqfunctions.udf.CIQ($B32, "IQ_NET_DEBT_EBITDA", IQ_FY, L$29, , , "USD")</f>
        <v>1.9984</v>
      </c>
      <c r="M32" s="395">
        <f>_xll.ciqfunctions.udf.CIQ($B32, "IQ_NET_DEBT_EBITDA", IQ_FY, M$29, , , "USD")</f>
        <v>1.39368</v>
      </c>
    </row>
    <row r="33" spans="2:13" ht="15.75" customHeight="1" x14ac:dyDescent="0.25">
      <c r="B33" s="6"/>
      <c r="C33" s="6"/>
      <c r="D33" s="6"/>
      <c r="E33" s="6"/>
      <c r="F33" s="6"/>
      <c r="G33" s="6"/>
      <c r="H33" s="6"/>
      <c r="I33" s="6"/>
      <c r="J33" s="6"/>
      <c r="K33" s="6"/>
      <c r="L33" s="6"/>
      <c r="M33" s="6"/>
    </row>
  </sheetData>
  <mergeCells count="1">
    <mergeCell ref="B2:C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64D4-51A1-44BF-B9B4-0E16C8155F51}">
  <sheetPr>
    <tabColor rgb="FF00B0F0"/>
  </sheetPr>
  <dimension ref="B1:M21"/>
  <sheetViews>
    <sheetView showGridLines="0" workbookViewId="0">
      <selection activeCell="O17" sqref="O17"/>
    </sheetView>
  </sheetViews>
  <sheetFormatPr defaultRowHeight="15.75" x14ac:dyDescent="0.25"/>
  <cols>
    <col min="1" max="1" width="2.7109375" style="6" customWidth="1"/>
    <col min="2" max="2" width="25.7109375" style="6" customWidth="1"/>
    <col min="3" max="3" width="30.7109375" style="6" customWidth="1"/>
    <col min="4" max="13" width="15.7109375" style="6" customWidth="1"/>
    <col min="14" max="15" width="12.42578125" style="6" bestFit="1" customWidth="1"/>
    <col min="16" max="257" width="9.140625" style="6"/>
    <col min="258" max="258" width="29.7109375" style="6" bestFit="1" customWidth="1"/>
    <col min="259" max="259" width="22" style="6" customWidth="1"/>
    <col min="260" max="260" width="6.5703125" style="6" customWidth="1"/>
    <col min="261" max="261" width="0" style="6" hidden="1" customWidth="1"/>
    <col min="262" max="513" width="9.140625" style="6"/>
    <col min="514" max="514" width="29.7109375" style="6" bestFit="1" customWidth="1"/>
    <col min="515" max="515" width="22" style="6" customWidth="1"/>
    <col min="516" max="516" width="6.5703125" style="6" customWidth="1"/>
    <col min="517" max="517" width="0" style="6" hidden="1" customWidth="1"/>
    <col min="518" max="769" width="9.140625" style="6"/>
    <col min="770" max="770" width="29.7109375" style="6" bestFit="1" customWidth="1"/>
    <col min="771" max="771" width="22" style="6" customWidth="1"/>
    <col min="772" max="772" width="6.5703125" style="6" customWidth="1"/>
    <col min="773" max="773" width="0" style="6" hidden="1" customWidth="1"/>
    <col min="774" max="1025" width="9.140625" style="6"/>
    <col min="1026" max="1026" width="29.7109375" style="6" bestFit="1" customWidth="1"/>
    <col min="1027" max="1027" width="22" style="6" customWidth="1"/>
    <col min="1028" max="1028" width="6.5703125" style="6" customWidth="1"/>
    <col min="1029" max="1029" width="0" style="6" hidden="1" customWidth="1"/>
    <col min="1030" max="1281" width="9.140625" style="6"/>
    <col min="1282" max="1282" width="29.7109375" style="6" bestFit="1" customWidth="1"/>
    <col min="1283" max="1283" width="22" style="6" customWidth="1"/>
    <col min="1284" max="1284" width="6.5703125" style="6" customWidth="1"/>
    <col min="1285" max="1285" width="0" style="6" hidden="1" customWidth="1"/>
    <col min="1286" max="1537" width="9.140625" style="6"/>
    <col min="1538" max="1538" width="29.7109375" style="6" bestFit="1" customWidth="1"/>
    <col min="1539" max="1539" width="22" style="6" customWidth="1"/>
    <col min="1540" max="1540" width="6.5703125" style="6" customWidth="1"/>
    <col min="1541" max="1541" width="0" style="6" hidden="1" customWidth="1"/>
    <col min="1542" max="1793" width="9.140625" style="6"/>
    <col min="1794" max="1794" width="29.7109375" style="6" bestFit="1" customWidth="1"/>
    <col min="1795" max="1795" width="22" style="6" customWidth="1"/>
    <col min="1796" max="1796" width="6.5703125" style="6" customWidth="1"/>
    <col min="1797" max="1797" width="0" style="6" hidden="1" customWidth="1"/>
    <col min="1798" max="2049" width="9.140625" style="6"/>
    <col min="2050" max="2050" width="29.7109375" style="6" bestFit="1" customWidth="1"/>
    <col min="2051" max="2051" width="22" style="6" customWidth="1"/>
    <col min="2052" max="2052" width="6.5703125" style="6" customWidth="1"/>
    <col min="2053" max="2053" width="0" style="6" hidden="1" customWidth="1"/>
    <col min="2054" max="2305" width="9.140625" style="6"/>
    <col min="2306" max="2306" width="29.7109375" style="6" bestFit="1" customWidth="1"/>
    <col min="2307" max="2307" width="22" style="6" customWidth="1"/>
    <col min="2308" max="2308" width="6.5703125" style="6" customWidth="1"/>
    <col min="2309" max="2309" width="0" style="6" hidden="1" customWidth="1"/>
    <col min="2310" max="2561" width="9.140625" style="6"/>
    <col min="2562" max="2562" width="29.7109375" style="6" bestFit="1" customWidth="1"/>
    <col min="2563" max="2563" width="22" style="6" customWidth="1"/>
    <col min="2564" max="2564" width="6.5703125" style="6" customWidth="1"/>
    <col min="2565" max="2565" width="0" style="6" hidden="1" customWidth="1"/>
    <col min="2566" max="2817" width="9.140625" style="6"/>
    <col min="2818" max="2818" width="29.7109375" style="6" bestFit="1" customWidth="1"/>
    <col min="2819" max="2819" width="22" style="6" customWidth="1"/>
    <col min="2820" max="2820" width="6.5703125" style="6" customWidth="1"/>
    <col min="2821" max="2821" width="0" style="6" hidden="1" customWidth="1"/>
    <col min="2822" max="3073" width="9.140625" style="6"/>
    <col min="3074" max="3074" width="29.7109375" style="6" bestFit="1" customWidth="1"/>
    <col min="3075" max="3075" width="22" style="6" customWidth="1"/>
    <col min="3076" max="3076" width="6.5703125" style="6" customWidth="1"/>
    <col min="3077" max="3077" width="0" style="6" hidden="1" customWidth="1"/>
    <col min="3078" max="3329" width="9.140625" style="6"/>
    <col min="3330" max="3330" width="29.7109375" style="6" bestFit="1" customWidth="1"/>
    <col min="3331" max="3331" width="22" style="6" customWidth="1"/>
    <col min="3332" max="3332" width="6.5703125" style="6" customWidth="1"/>
    <col min="3333" max="3333" width="0" style="6" hidden="1" customWidth="1"/>
    <col min="3334" max="3585" width="9.140625" style="6"/>
    <col min="3586" max="3586" width="29.7109375" style="6" bestFit="1" customWidth="1"/>
    <col min="3587" max="3587" width="22" style="6" customWidth="1"/>
    <col min="3588" max="3588" width="6.5703125" style="6" customWidth="1"/>
    <col min="3589" max="3589" width="0" style="6" hidden="1" customWidth="1"/>
    <col min="3590" max="3841" width="9.140625" style="6"/>
    <col min="3842" max="3842" width="29.7109375" style="6" bestFit="1" customWidth="1"/>
    <col min="3843" max="3843" width="22" style="6" customWidth="1"/>
    <col min="3844" max="3844" width="6.5703125" style="6" customWidth="1"/>
    <col min="3845" max="3845" width="0" style="6" hidden="1" customWidth="1"/>
    <col min="3846" max="4097" width="9.140625" style="6"/>
    <col min="4098" max="4098" width="29.7109375" style="6" bestFit="1" customWidth="1"/>
    <col min="4099" max="4099" width="22" style="6" customWidth="1"/>
    <col min="4100" max="4100" width="6.5703125" style="6" customWidth="1"/>
    <col min="4101" max="4101" width="0" style="6" hidden="1" customWidth="1"/>
    <col min="4102" max="4353" width="9.140625" style="6"/>
    <col min="4354" max="4354" width="29.7109375" style="6" bestFit="1" customWidth="1"/>
    <col min="4355" max="4355" width="22" style="6" customWidth="1"/>
    <col min="4356" max="4356" width="6.5703125" style="6" customWidth="1"/>
    <col min="4357" max="4357" width="0" style="6" hidden="1" customWidth="1"/>
    <col min="4358" max="4609" width="9.140625" style="6"/>
    <col min="4610" max="4610" width="29.7109375" style="6" bestFit="1" customWidth="1"/>
    <col min="4611" max="4611" width="22" style="6" customWidth="1"/>
    <col min="4612" max="4612" width="6.5703125" style="6" customWidth="1"/>
    <col min="4613" max="4613" width="0" style="6" hidden="1" customWidth="1"/>
    <col min="4614" max="4865" width="9.140625" style="6"/>
    <col min="4866" max="4866" width="29.7109375" style="6" bestFit="1" customWidth="1"/>
    <col min="4867" max="4867" width="22" style="6" customWidth="1"/>
    <col min="4868" max="4868" width="6.5703125" style="6" customWidth="1"/>
    <col min="4869" max="4869" width="0" style="6" hidden="1" customWidth="1"/>
    <col min="4870" max="5121" width="9.140625" style="6"/>
    <col min="5122" max="5122" width="29.7109375" style="6" bestFit="1" customWidth="1"/>
    <col min="5123" max="5123" width="22" style="6" customWidth="1"/>
    <col min="5124" max="5124" width="6.5703125" style="6" customWidth="1"/>
    <col min="5125" max="5125" width="0" style="6" hidden="1" customWidth="1"/>
    <col min="5126" max="5377" width="9.140625" style="6"/>
    <col min="5378" max="5378" width="29.7109375" style="6" bestFit="1" customWidth="1"/>
    <col min="5379" max="5379" width="22" style="6" customWidth="1"/>
    <col min="5380" max="5380" width="6.5703125" style="6" customWidth="1"/>
    <col min="5381" max="5381" width="0" style="6" hidden="1" customWidth="1"/>
    <col min="5382" max="5633" width="9.140625" style="6"/>
    <col min="5634" max="5634" width="29.7109375" style="6" bestFit="1" customWidth="1"/>
    <col min="5635" max="5635" width="22" style="6" customWidth="1"/>
    <col min="5636" max="5636" width="6.5703125" style="6" customWidth="1"/>
    <col min="5637" max="5637" width="0" style="6" hidden="1" customWidth="1"/>
    <col min="5638" max="5889" width="9.140625" style="6"/>
    <col min="5890" max="5890" width="29.7109375" style="6" bestFit="1" customWidth="1"/>
    <col min="5891" max="5891" width="22" style="6" customWidth="1"/>
    <col min="5892" max="5892" width="6.5703125" style="6" customWidth="1"/>
    <col min="5893" max="5893" width="0" style="6" hidden="1" customWidth="1"/>
    <col min="5894" max="6145" width="9.140625" style="6"/>
    <col min="6146" max="6146" width="29.7109375" style="6" bestFit="1" customWidth="1"/>
    <col min="6147" max="6147" width="22" style="6" customWidth="1"/>
    <col min="6148" max="6148" width="6.5703125" style="6" customWidth="1"/>
    <col min="6149" max="6149" width="0" style="6" hidden="1" customWidth="1"/>
    <col min="6150" max="6401" width="9.140625" style="6"/>
    <col min="6402" max="6402" width="29.7109375" style="6" bestFit="1" customWidth="1"/>
    <col min="6403" max="6403" width="22" style="6" customWidth="1"/>
    <col min="6404" max="6404" width="6.5703125" style="6" customWidth="1"/>
    <col min="6405" max="6405" width="0" style="6" hidden="1" customWidth="1"/>
    <col min="6406" max="6657" width="9.140625" style="6"/>
    <col min="6658" max="6658" width="29.7109375" style="6" bestFit="1" customWidth="1"/>
    <col min="6659" max="6659" width="22" style="6" customWidth="1"/>
    <col min="6660" max="6660" width="6.5703125" style="6" customWidth="1"/>
    <col min="6661" max="6661" width="0" style="6" hidden="1" customWidth="1"/>
    <col min="6662" max="6913" width="9.140625" style="6"/>
    <col min="6914" max="6914" width="29.7109375" style="6" bestFit="1" customWidth="1"/>
    <col min="6915" max="6915" width="22" style="6" customWidth="1"/>
    <col min="6916" max="6916" width="6.5703125" style="6" customWidth="1"/>
    <col min="6917" max="6917" width="0" style="6" hidden="1" customWidth="1"/>
    <col min="6918" max="7169" width="9.140625" style="6"/>
    <col min="7170" max="7170" width="29.7109375" style="6" bestFit="1" customWidth="1"/>
    <col min="7171" max="7171" width="22" style="6" customWidth="1"/>
    <col min="7172" max="7172" width="6.5703125" style="6" customWidth="1"/>
    <col min="7173" max="7173" width="0" style="6" hidden="1" customWidth="1"/>
    <col min="7174" max="7425" width="9.140625" style="6"/>
    <col min="7426" max="7426" width="29.7109375" style="6" bestFit="1" customWidth="1"/>
    <col min="7427" max="7427" width="22" style="6" customWidth="1"/>
    <col min="7428" max="7428" width="6.5703125" style="6" customWidth="1"/>
    <col min="7429" max="7429" width="0" style="6" hidden="1" customWidth="1"/>
    <col min="7430" max="7681" width="9.140625" style="6"/>
    <col min="7682" max="7682" width="29.7109375" style="6" bestFit="1" customWidth="1"/>
    <col min="7683" max="7683" width="22" style="6" customWidth="1"/>
    <col min="7684" max="7684" width="6.5703125" style="6" customWidth="1"/>
    <col min="7685" max="7685" width="0" style="6" hidden="1" customWidth="1"/>
    <col min="7686" max="7937" width="9.140625" style="6"/>
    <col min="7938" max="7938" width="29.7109375" style="6" bestFit="1" customWidth="1"/>
    <col min="7939" max="7939" width="22" style="6" customWidth="1"/>
    <col min="7940" max="7940" width="6.5703125" style="6" customWidth="1"/>
    <col min="7941" max="7941" width="0" style="6" hidden="1" customWidth="1"/>
    <col min="7942" max="8193" width="9.140625" style="6"/>
    <col min="8194" max="8194" width="29.7109375" style="6" bestFit="1" customWidth="1"/>
    <col min="8195" max="8195" width="22" style="6" customWidth="1"/>
    <col min="8196" max="8196" width="6.5703125" style="6" customWidth="1"/>
    <col min="8197" max="8197" width="0" style="6" hidden="1" customWidth="1"/>
    <col min="8198" max="8449" width="9.140625" style="6"/>
    <col min="8450" max="8450" width="29.7109375" style="6" bestFit="1" customWidth="1"/>
    <col min="8451" max="8451" width="22" style="6" customWidth="1"/>
    <col min="8452" max="8452" width="6.5703125" style="6" customWidth="1"/>
    <col min="8453" max="8453" width="0" style="6" hidden="1" customWidth="1"/>
    <col min="8454" max="8705" width="9.140625" style="6"/>
    <col min="8706" max="8706" width="29.7109375" style="6" bestFit="1" customWidth="1"/>
    <col min="8707" max="8707" width="22" style="6" customWidth="1"/>
    <col min="8708" max="8708" width="6.5703125" style="6" customWidth="1"/>
    <col min="8709" max="8709" width="0" style="6" hidden="1" customWidth="1"/>
    <col min="8710" max="8961" width="9.140625" style="6"/>
    <col min="8962" max="8962" width="29.7109375" style="6" bestFit="1" customWidth="1"/>
    <col min="8963" max="8963" width="22" style="6" customWidth="1"/>
    <col min="8964" max="8964" width="6.5703125" style="6" customWidth="1"/>
    <col min="8965" max="8965" width="0" style="6" hidden="1" customWidth="1"/>
    <col min="8966" max="9217" width="9.140625" style="6"/>
    <col min="9218" max="9218" width="29.7109375" style="6" bestFit="1" customWidth="1"/>
    <col min="9219" max="9219" width="22" style="6" customWidth="1"/>
    <col min="9220" max="9220" width="6.5703125" style="6" customWidth="1"/>
    <col min="9221" max="9221" width="0" style="6" hidden="1" customWidth="1"/>
    <col min="9222" max="9473" width="9.140625" style="6"/>
    <col min="9474" max="9474" width="29.7109375" style="6" bestFit="1" customWidth="1"/>
    <col min="9475" max="9475" width="22" style="6" customWidth="1"/>
    <col min="9476" max="9476" width="6.5703125" style="6" customWidth="1"/>
    <col min="9477" max="9477" width="0" style="6" hidden="1" customWidth="1"/>
    <col min="9478" max="9729" width="9.140625" style="6"/>
    <col min="9730" max="9730" width="29.7109375" style="6" bestFit="1" customWidth="1"/>
    <col min="9731" max="9731" width="22" style="6" customWidth="1"/>
    <col min="9732" max="9732" width="6.5703125" style="6" customWidth="1"/>
    <col min="9733" max="9733" width="0" style="6" hidden="1" customWidth="1"/>
    <col min="9734" max="9985" width="9.140625" style="6"/>
    <col min="9986" max="9986" width="29.7109375" style="6" bestFit="1" customWidth="1"/>
    <col min="9987" max="9987" width="22" style="6" customWidth="1"/>
    <col min="9988" max="9988" width="6.5703125" style="6" customWidth="1"/>
    <col min="9989" max="9989" width="0" style="6" hidden="1" customWidth="1"/>
    <col min="9990" max="10241" width="9.140625" style="6"/>
    <col min="10242" max="10242" width="29.7109375" style="6" bestFit="1" customWidth="1"/>
    <col min="10243" max="10243" width="22" style="6" customWidth="1"/>
    <col min="10244" max="10244" width="6.5703125" style="6" customWidth="1"/>
    <col min="10245" max="10245" width="0" style="6" hidden="1" customWidth="1"/>
    <col min="10246" max="10497" width="9.140625" style="6"/>
    <col min="10498" max="10498" width="29.7109375" style="6" bestFit="1" customWidth="1"/>
    <col min="10499" max="10499" width="22" style="6" customWidth="1"/>
    <col min="10500" max="10500" width="6.5703125" style="6" customWidth="1"/>
    <col min="10501" max="10501" width="0" style="6" hidden="1" customWidth="1"/>
    <col min="10502" max="10753" width="9.140625" style="6"/>
    <col min="10754" max="10754" width="29.7109375" style="6" bestFit="1" customWidth="1"/>
    <col min="10755" max="10755" width="22" style="6" customWidth="1"/>
    <col min="10756" max="10756" width="6.5703125" style="6" customWidth="1"/>
    <col min="10757" max="10757" width="0" style="6" hidden="1" customWidth="1"/>
    <col min="10758" max="11009" width="9.140625" style="6"/>
    <col min="11010" max="11010" width="29.7109375" style="6" bestFit="1" customWidth="1"/>
    <col min="11011" max="11011" width="22" style="6" customWidth="1"/>
    <col min="11012" max="11012" width="6.5703125" style="6" customWidth="1"/>
    <col min="11013" max="11013" width="0" style="6" hidden="1" customWidth="1"/>
    <col min="11014" max="11265" width="9.140625" style="6"/>
    <col min="11266" max="11266" width="29.7109375" style="6" bestFit="1" customWidth="1"/>
    <col min="11267" max="11267" width="22" style="6" customWidth="1"/>
    <col min="11268" max="11268" width="6.5703125" style="6" customWidth="1"/>
    <col min="11269" max="11269" width="0" style="6" hidden="1" customWidth="1"/>
    <col min="11270" max="11521" width="9.140625" style="6"/>
    <col min="11522" max="11522" width="29.7109375" style="6" bestFit="1" customWidth="1"/>
    <col min="11523" max="11523" width="22" style="6" customWidth="1"/>
    <col min="11524" max="11524" width="6.5703125" style="6" customWidth="1"/>
    <col min="11525" max="11525" width="0" style="6" hidden="1" customWidth="1"/>
    <col min="11526" max="11777" width="9.140625" style="6"/>
    <col min="11778" max="11778" width="29.7109375" style="6" bestFit="1" customWidth="1"/>
    <col min="11779" max="11779" width="22" style="6" customWidth="1"/>
    <col min="11780" max="11780" width="6.5703125" style="6" customWidth="1"/>
    <col min="11781" max="11781" width="0" style="6" hidden="1" customWidth="1"/>
    <col min="11782" max="12033" width="9.140625" style="6"/>
    <col min="12034" max="12034" width="29.7109375" style="6" bestFit="1" customWidth="1"/>
    <col min="12035" max="12035" width="22" style="6" customWidth="1"/>
    <col min="12036" max="12036" width="6.5703125" style="6" customWidth="1"/>
    <col min="12037" max="12037" width="0" style="6" hidden="1" customWidth="1"/>
    <col min="12038" max="12289" width="9.140625" style="6"/>
    <col min="12290" max="12290" width="29.7109375" style="6" bestFit="1" customWidth="1"/>
    <col min="12291" max="12291" width="22" style="6" customWidth="1"/>
    <col min="12292" max="12292" width="6.5703125" style="6" customWidth="1"/>
    <col min="12293" max="12293" width="0" style="6" hidden="1" customWidth="1"/>
    <col min="12294" max="12545" width="9.140625" style="6"/>
    <col min="12546" max="12546" width="29.7109375" style="6" bestFit="1" customWidth="1"/>
    <col min="12547" max="12547" width="22" style="6" customWidth="1"/>
    <col min="12548" max="12548" width="6.5703125" style="6" customWidth="1"/>
    <col min="12549" max="12549" width="0" style="6" hidden="1" customWidth="1"/>
    <col min="12550" max="12801" width="9.140625" style="6"/>
    <col min="12802" max="12802" width="29.7109375" style="6" bestFit="1" customWidth="1"/>
    <col min="12803" max="12803" width="22" style="6" customWidth="1"/>
    <col min="12804" max="12804" width="6.5703125" style="6" customWidth="1"/>
    <col min="12805" max="12805" width="0" style="6" hidden="1" customWidth="1"/>
    <col min="12806" max="13057" width="9.140625" style="6"/>
    <col min="13058" max="13058" width="29.7109375" style="6" bestFit="1" customWidth="1"/>
    <col min="13059" max="13059" width="22" style="6" customWidth="1"/>
    <col min="13060" max="13060" width="6.5703125" style="6" customWidth="1"/>
    <col min="13061" max="13061" width="0" style="6" hidden="1" customWidth="1"/>
    <col min="13062" max="13313" width="9.140625" style="6"/>
    <col min="13314" max="13314" width="29.7109375" style="6" bestFit="1" customWidth="1"/>
    <col min="13315" max="13315" width="22" style="6" customWidth="1"/>
    <col min="13316" max="13316" width="6.5703125" style="6" customWidth="1"/>
    <col min="13317" max="13317" width="0" style="6" hidden="1" customWidth="1"/>
    <col min="13318" max="13569" width="9.140625" style="6"/>
    <col min="13570" max="13570" width="29.7109375" style="6" bestFit="1" customWidth="1"/>
    <col min="13571" max="13571" width="22" style="6" customWidth="1"/>
    <col min="13572" max="13572" width="6.5703125" style="6" customWidth="1"/>
    <col min="13573" max="13573" width="0" style="6" hidden="1" customWidth="1"/>
    <col min="13574" max="13825" width="9.140625" style="6"/>
    <col min="13826" max="13826" width="29.7109375" style="6" bestFit="1" customWidth="1"/>
    <col min="13827" max="13827" width="22" style="6" customWidth="1"/>
    <col min="13828" max="13828" width="6.5703125" style="6" customWidth="1"/>
    <col min="13829" max="13829" width="0" style="6" hidden="1" customWidth="1"/>
    <col min="13830" max="14081" width="9.140625" style="6"/>
    <col min="14082" max="14082" width="29.7109375" style="6" bestFit="1" customWidth="1"/>
    <col min="14083" max="14083" width="22" style="6" customWidth="1"/>
    <col min="14084" max="14084" width="6.5703125" style="6" customWidth="1"/>
    <col min="14085" max="14085" width="0" style="6" hidden="1" customWidth="1"/>
    <col min="14086" max="14337" width="9.140625" style="6"/>
    <col min="14338" max="14338" width="29.7109375" style="6" bestFit="1" customWidth="1"/>
    <col min="14339" max="14339" width="22" style="6" customWidth="1"/>
    <col min="14340" max="14340" width="6.5703125" style="6" customWidth="1"/>
    <col min="14341" max="14341" width="0" style="6" hidden="1" customWidth="1"/>
    <col min="14342" max="14593" width="9.140625" style="6"/>
    <col min="14594" max="14594" width="29.7109375" style="6" bestFit="1" customWidth="1"/>
    <col min="14595" max="14595" width="22" style="6" customWidth="1"/>
    <col min="14596" max="14596" width="6.5703125" style="6" customWidth="1"/>
    <col min="14597" max="14597" width="0" style="6" hidden="1" customWidth="1"/>
    <col min="14598" max="14849" width="9.140625" style="6"/>
    <col min="14850" max="14850" width="29.7109375" style="6" bestFit="1" customWidth="1"/>
    <col min="14851" max="14851" width="22" style="6" customWidth="1"/>
    <col min="14852" max="14852" width="6.5703125" style="6" customWidth="1"/>
    <col min="14853" max="14853" width="0" style="6" hidden="1" customWidth="1"/>
    <col min="14854" max="15105" width="9.140625" style="6"/>
    <col min="15106" max="15106" width="29.7109375" style="6" bestFit="1" customWidth="1"/>
    <col min="15107" max="15107" width="22" style="6" customWidth="1"/>
    <col min="15108" max="15108" width="6.5703125" style="6" customWidth="1"/>
    <col min="15109" max="15109" width="0" style="6" hidden="1" customWidth="1"/>
    <col min="15110" max="15361" width="9.140625" style="6"/>
    <col min="15362" max="15362" width="29.7109375" style="6" bestFit="1" customWidth="1"/>
    <col min="15363" max="15363" width="22" style="6" customWidth="1"/>
    <col min="15364" max="15364" width="6.5703125" style="6" customWidth="1"/>
    <col min="15365" max="15365" width="0" style="6" hidden="1" customWidth="1"/>
    <col min="15366" max="15617" width="9.140625" style="6"/>
    <col min="15618" max="15618" width="29.7109375" style="6" bestFit="1" customWidth="1"/>
    <col min="15619" max="15619" width="22" style="6" customWidth="1"/>
    <col min="15620" max="15620" width="6.5703125" style="6" customWidth="1"/>
    <col min="15621" max="15621" width="0" style="6" hidden="1" customWidth="1"/>
    <col min="15622" max="15873" width="9.140625" style="6"/>
    <col min="15874" max="15874" width="29.7109375" style="6" bestFit="1" customWidth="1"/>
    <col min="15875" max="15875" width="22" style="6" customWidth="1"/>
    <col min="15876" max="15876" width="6.5703125" style="6" customWidth="1"/>
    <col min="15877" max="15877" width="0" style="6" hidden="1" customWidth="1"/>
    <col min="15878" max="16129" width="9.140625" style="6"/>
    <col min="16130" max="16130" width="29.7109375" style="6" bestFit="1" customWidth="1"/>
    <col min="16131" max="16131" width="22" style="6" customWidth="1"/>
    <col min="16132" max="16132" width="6.5703125" style="6" customWidth="1"/>
    <col min="16133" max="16133" width="0" style="6" hidden="1" customWidth="1"/>
    <col min="16134" max="16384" width="9.140625" style="6"/>
  </cols>
  <sheetData>
    <row r="1" spans="2:13" x14ac:dyDescent="0.25">
      <c r="D1"/>
      <c r="E1"/>
      <c r="F1"/>
    </row>
    <row r="2" spans="2:13" x14ac:dyDescent="0.25">
      <c r="B2" s="387" t="s">
        <v>330</v>
      </c>
      <c r="C2" s="387"/>
      <c r="D2" s="387"/>
    </row>
    <row r="3" spans="2:13" x14ac:dyDescent="0.25">
      <c r="B3" s="387"/>
      <c r="C3" s="387"/>
      <c r="D3" s="387"/>
    </row>
    <row r="5" spans="2:13" x14ac:dyDescent="0.25">
      <c r="B5" s="406" t="s">
        <v>332</v>
      </c>
      <c r="C5" s="407"/>
      <c r="D5" s="407"/>
      <c r="E5" s="407"/>
      <c r="F5" s="407"/>
      <c r="G5" s="407"/>
      <c r="H5" s="407"/>
      <c r="I5" s="407"/>
      <c r="J5" s="407"/>
      <c r="K5" s="407"/>
      <c r="L5" s="407"/>
      <c r="M5" s="408"/>
    </row>
    <row r="6" spans="2:13" x14ac:dyDescent="0.25">
      <c r="B6" s="409" t="s">
        <v>110</v>
      </c>
      <c r="C6" s="410" t="s">
        <v>328</v>
      </c>
      <c r="D6" s="411">
        <v>41639</v>
      </c>
      <c r="E6" s="411">
        <v>42004</v>
      </c>
      <c r="F6" s="411">
        <v>42369</v>
      </c>
      <c r="G6" s="411">
        <f>F6+365</f>
        <v>42734</v>
      </c>
      <c r="H6" s="411">
        <f>G6+366</f>
        <v>43100</v>
      </c>
      <c r="I6" s="411">
        <f t="shared" ref="I6:J6" si="0">H6+365</f>
        <v>43465</v>
      </c>
      <c r="J6" s="411">
        <f t="shared" si="0"/>
        <v>43830</v>
      </c>
      <c r="K6" s="411">
        <f>J6+366</f>
        <v>44196</v>
      </c>
      <c r="L6" s="411">
        <f>K6+365</f>
        <v>44561</v>
      </c>
      <c r="M6" s="412">
        <f t="shared" ref="M6" si="1">L6+365</f>
        <v>44926</v>
      </c>
    </row>
    <row r="7" spans="2:13" x14ac:dyDescent="0.25">
      <c r="B7" s="389" t="s">
        <v>340</v>
      </c>
      <c r="C7" s="6" t="str">
        <f>_xll.ciqfunctions.udf.CIQ(B7, "IQ_COMPANY_NAME")</f>
        <v>MasTec, Inc.</v>
      </c>
      <c r="D7" s="398">
        <f>_xll.ciqfunctions.udf.CIQ($B7, "IQ_ASSET_TURNS", IQ_FY, D$6)</f>
        <v>1.61992</v>
      </c>
      <c r="E7" s="398">
        <f>_xll.ciqfunctions.udf.CIQ($B7, "IQ_ASSET_TURNS", IQ_FY, E$6)</f>
        <v>1.4218200000000001</v>
      </c>
      <c r="F7" s="398">
        <f>_xll.ciqfunctions.udf.CIQ($B7, "IQ_ASSET_TURNS", IQ_FY, F$6)</f>
        <v>1.2966</v>
      </c>
      <c r="G7" s="398">
        <f>_xll.ciqfunctions.udf.CIQ($B7, "IQ_ASSET_TURNS", IQ_FY, G$6)</f>
        <v>1.2966</v>
      </c>
      <c r="H7" s="398">
        <f>_xll.ciqfunctions.udf.CIQ($B7, "IQ_ASSET_TURNS", IQ_FY, H$6)</f>
        <v>1.8226899999999999</v>
      </c>
      <c r="I7" s="398">
        <f>_xll.ciqfunctions.udf.CIQ($B7, "IQ_ASSET_TURNS", IQ_FY, I$6)</f>
        <v>1.6245000000000001</v>
      </c>
      <c r="J7" s="398">
        <f>_xll.ciqfunctions.udf.CIQ($B7, "IQ_ASSET_TURNS", IQ_FY, J$6)</f>
        <v>1.5223500000000001</v>
      </c>
      <c r="K7" s="398">
        <f>_xll.ciqfunctions.udf.CIQ($B7, "IQ_ASSET_TURNS", IQ_FY, K$6)</f>
        <v>1.2363900000000001</v>
      </c>
      <c r="L7" s="398">
        <f>_xll.ciqfunctions.udf.CIQ($B7, "IQ_ASSET_TURNS", IQ_FY, L$6)</f>
        <v>1.28782</v>
      </c>
      <c r="M7" s="399">
        <f>_xll.ciqfunctions.udf.CIQ($B7, "IQ_ASSET_TURNS", IQ_FY, M$6)</f>
        <v>1.1913800000000001</v>
      </c>
    </row>
    <row r="8" spans="2:13" x14ac:dyDescent="0.25">
      <c r="B8" s="389" t="s">
        <v>342</v>
      </c>
      <c r="C8" s="6" t="str">
        <f>_xll.ciqfunctions.udf.CIQ(B8, "IQ_COMPANY_NAME")</f>
        <v>MYR Group Inc.</v>
      </c>
      <c r="D8" s="398">
        <f>_xll.ciqfunctions.udf.CIQ($B8, "IQ_ASSET_TURNS", IQ_FY, D$6)</f>
        <v>1.8204400000000001</v>
      </c>
      <c r="E8" s="398">
        <f>_xll.ciqfunctions.udf.CIQ($B8, "IQ_ASSET_TURNS", IQ_FY, E$6)</f>
        <v>1.80576</v>
      </c>
      <c r="F8" s="398">
        <f>_xll.ciqfunctions.udf.CIQ($B8, "IQ_ASSET_TURNS", IQ_FY, F$6)</f>
        <v>2.0318999999999998</v>
      </c>
      <c r="G8" s="398">
        <f>_xll.ciqfunctions.udf.CIQ($B8, "IQ_ASSET_TURNS", IQ_FY, G$6)</f>
        <v>2.0318999999999998</v>
      </c>
      <c r="H8" s="398">
        <f>_xll.ciqfunctions.udf.CIQ($B8, "IQ_ASSET_TURNS", IQ_FY, H$6)</f>
        <v>2.3839899999999998</v>
      </c>
      <c r="I8" s="398">
        <f>_xll.ciqfunctions.udf.CIQ($B8, "IQ_ASSET_TURNS", IQ_FY, I$6)</f>
        <v>2.2641300000000002</v>
      </c>
      <c r="J8" s="398">
        <f>_xll.ciqfunctions.udf.CIQ($B8, "IQ_ASSET_TURNS", IQ_FY, J$6)</f>
        <v>2.3581099999999999</v>
      </c>
      <c r="K8" s="398">
        <f>_xll.ciqfunctions.udf.CIQ($B8, "IQ_ASSET_TURNS", IQ_FY, K$6)</f>
        <v>2.2432099999999999</v>
      </c>
      <c r="L8" s="398">
        <f>_xll.ciqfunctions.udf.CIQ($B8, "IQ_ASSET_TURNS", IQ_FY, L$6)</f>
        <v>2.3602699999999999</v>
      </c>
      <c r="M8" s="399">
        <f>_xll.ciqfunctions.udf.CIQ($B8, "IQ_ASSET_TURNS", IQ_FY, M$6)</f>
        <v>2.3877799999999998</v>
      </c>
    </row>
    <row r="9" spans="2:13" x14ac:dyDescent="0.25">
      <c r="B9" s="392" t="s">
        <v>341</v>
      </c>
      <c r="C9" s="393" t="str">
        <f>_xll.ciqfunctions.udf.CIQ(B9, "IQ_COMPANY_NAME")</f>
        <v>Quanta Services, Inc.</v>
      </c>
      <c r="D9" s="400">
        <f>_xll.ciqfunctions.udf.CIQ($B9, "IQ_ASSET_TURNS", IQ_FY, D$6)</f>
        <v>1.1727799999999999</v>
      </c>
      <c r="E9" s="400">
        <f>_xll.ciqfunctions.udf.CIQ($B9, "IQ_ASSET_TURNS", IQ_FY, E$6)</f>
        <v>1.2861899999999999</v>
      </c>
      <c r="F9" s="400">
        <f>_xll.ciqfunctions.udf.CIQ($B9, "IQ_ASSET_TURNS", IQ_FY, F$6)</f>
        <v>1.3207199999999999</v>
      </c>
      <c r="G9" s="400">
        <f>_xll.ciqfunctions.udf.CIQ($B9, "IQ_ASSET_TURNS", IQ_FY, G$6)</f>
        <v>1.3207199999999999</v>
      </c>
      <c r="H9" s="400">
        <f>_xll.ciqfunctions.udf.CIQ($B9, "IQ_ASSET_TURNS", IQ_FY, H$6)</f>
        <v>1.59985</v>
      </c>
      <c r="I9" s="400">
        <f>_xll.ciqfunctions.udf.CIQ($B9, "IQ_ASSET_TURNS", IQ_FY, I$6)</f>
        <v>1.6482000000000001</v>
      </c>
      <c r="J9" s="400">
        <f>_xll.ciqfunctions.udf.CIQ($B9, "IQ_ASSET_TURNS", IQ_FY, J$6)</f>
        <v>1.5722400000000001</v>
      </c>
      <c r="K9" s="400">
        <f>_xll.ciqfunctions.udf.CIQ($B9, "IQ_ASSET_TURNS", IQ_FY, K$6)</f>
        <v>1.33924</v>
      </c>
      <c r="L9" s="400">
        <f>_xll.ciqfunctions.udf.CIQ($B9, "IQ_ASSET_TURNS", IQ_FY, L$6)</f>
        <v>1.2214700000000001</v>
      </c>
      <c r="M9" s="401">
        <f>_xll.ciqfunctions.udf.CIQ($B9, "IQ_ASSET_TURNS", IQ_FY, M$6)</f>
        <v>1.2974300000000001</v>
      </c>
    </row>
    <row r="11" spans="2:13" x14ac:dyDescent="0.25">
      <c r="B11" s="406" t="s">
        <v>333</v>
      </c>
      <c r="C11" s="407"/>
      <c r="D11" s="407"/>
      <c r="E11" s="407"/>
      <c r="F11" s="407"/>
      <c r="G11" s="407"/>
      <c r="H11" s="407"/>
      <c r="I11" s="407"/>
      <c r="J11" s="407"/>
      <c r="K11" s="407"/>
      <c r="L11" s="407"/>
      <c r="M11" s="408"/>
    </row>
    <row r="12" spans="2:13" x14ac:dyDescent="0.25">
      <c r="B12" s="409" t="s">
        <v>110</v>
      </c>
      <c r="C12" s="410" t="s">
        <v>328</v>
      </c>
      <c r="D12" s="411">
        <v>41639</v>
      </c>
      <c r="E12" s="411">
        <v>42004</v>
      </c>
      <c r="F12" s="411">
        <v>42369</v>
      </c>
      <c r="G12" s="411">
        <f>F12+365</f>
        <v>42734</v>
      </c>
      <c r="H12" s="411">
        <f>G12+366</f>
        <v>43100</v>
      </c>
      <c r="I12" s="411">
        <f t="shared" ref="I12:J12" si="2">H12+365</f>
        <v>43465</v>
      </c>
      <c r="J12" s="411">
        <f t="shared" si="2"/>
        <v>43830</v>
      </c>
      <c r="K12" s="411">
        <f>J12+366</f>
        <v>44196</v>
      </c>
      <c r="L12" s="411">
        <f>K12+365</f>
        <v>44561</v>
      </c>
      <c r="M12" s="412">
        <f t="shared" ref="M12" si="3">L12+365</f>
        <v>44926</v>
      </c>
    </row>
    <row r="13" spans="2:13" x14ac:dyDescent="0.25">
      <c r="B13" s="389" t="s">
        <v>340</v>
      </c>
      <c r="C13" s="6" t="str">
        <f>_xll.ciqfunctions.udf.CIQ(B13, "IQ_COMPANY_NAME")</f>
        <v>MasTec, Inc.</v>
      </c>
      <c r="D13" s="398">
        <f>_xll.ciqfunctions.udf.CIQ($B13, "IQ_AR_TURNS", IQ_FY, D$12)</f>
        <v>4.2991900000000003</v>
      </c>
      <c r="E13" s="398">
        <f>_xll.ciqfunctions.udf.CIQ($B13, "IQ_AR_TURNS", IQ_FY, E$12)</f>
        <v>3.7828900000000001</v>
      </c>
      <c r="F13" s="398">
        <f>_xll.ciqfunctions.udf.CIQ($B13, "IQ_AR_TURNS", IQ_FY, F$12)</f>
        <v>3.80043</v>
      </c>
      <c r="G13" s="398">
        <f>_xll.ciqfunctions.udf.CIQ($B13, "IQ_AR_TURNS", IQ_FY, G$12)</f>
        <v>3.80043</v>
      </c>
      <c r="H13" s="398">
        <f>_xll.ciqfunctions.udf.CIQ($B13, "IQ_AR_TURNS", IQ_FY, H$12)</f>
        <v>4.7980200000000002</v>
      </c>
      <c r="I13" s="398">
        <f>_xll.ciqfunctions.udf.CIQ($B13, "IQ_AR_TURNS", IQ_FY, I$12)</f>
        <v>3.9235899999999999</v>
      </c>
      <c r="J13" s="398">
        <f>_xll.ciqfunctions.udf.CIQ($B13, "IQ_AR_TURNS", IQ_FY, J$12)</f>
        <v>3.7817599999999998</v>
      </c>
      <c r="K13" s="398">
        <f>_xll.ciqfunctions.udf.CIQ($B13, "IQ_AR_TURNS", IQ_FY, K$12)</f>
        <v>3.4834700000000001</v>
      </c>
      <c r="L13" s="398">
        <f>_xll.ciqfunctions.udf.CIQ($B13, "IQ_AR_TURNS", IQ_FY, L$12)</f>
        <v>3.9744199999999998</v>
      </c>
      <c r="M13" s="399">
        <f>_xll.ciqfunctions.udf.CIQ($B13, "IQ_AR_TURNS", IQ_FY, M$12)</f>
        <v>3.6370800000000001</v>
      </c>
    </row>
    <row r="14" spans="2:13" x14ac:dyDescent="0.25">
      <c r="B14" s="389" t="s">
        <v>342</v>
      </c>
      <c r="C14" s="6" t="str">
        <f>_xll.ciqfunctions.udf.CIQ(B14, "IQ_COMPANY_NAME")</f>
        <v>MYR Group Inc.</v>
      </c>
      <c r="D14" s="398">
        <f>_xll.ciqfunctions.udf.CIQ($B14, "IQ_AR_TURNS", IQ_FY, D$12)</f>
        <v>4.0802199999999997</v>
      </c>
      <c r="E14" s="398">
        <f>_xll.ciqfunctions.udf.CIQ($B14, "IQ_AR_TURNS", IQ_FY, E$12)</f>
        <v>4.5409600000000001</v>
      </c>
      <c r="F14" s="398">
        <f>_xll.ciqfunctions.udf.CIQ($B14, "IQ_AR_TURNS", IQ_FY, F$12)</f>
        <v>4.8205400000000003</v>
      </c>
      <c r="G14" s="398">
        <f>_xll.ciqfunctions.udf.CIQ($B14, "IQ_AR_TURNS", IQ_FY, G$12)</f>
        <v>4.8205400000000003</v>
      </c>
      <c r="H14" s="398">
        <f>_xll.ciqfunctions.udf.CIQ($B14, "IQ_AR_TURNS", IQ_FY, H$12)</f>
        <v>4.2853899999999996</v>
      </c>
      <c r="I14" s="398">
        <f>_xll.ciqfunctions.udf.CIQ($B14, "IQ_AR_TURNS", IQ_FY, I$12)</f>
        <v>3.8596300000000001</v>
      </c>
      <c r="J14" s="398">
        <f>_xll.ciqfunctions.udf.CIQ($B14, "IQ_AR_TURNS", IQ_FY, J$12)</f>
        <v>3.9802300000000002</v>
      </c>
      <c r="K14" s="398">
        <f>_xll.ciqfunctions.udf.CIQ($B14, "IQ_AR_TURNS", IQ_FY, K$12)</f>
        <v>3.85589</v>
      </c>
      <c r="L14" s="398">
        <f>_xll.ciqfunctions.udf.CIQ($B14, "IQ_AR_TURNS", IQ_FY, L$12)</f>
        <v>4.2938400000000003</v>
      </c>
      <c r="M14" s="399">
        <f>_xll.ciqfunctions.udf.CIQ($B14, "IQ_AR_TURNS", IQ_FY, M$12)</f>
        <v>4.39933</v>
      </c>
    </row>
    <row r="15" spans="2:13" x14ac:dyDescent="0.25">
      <c r="B15" s="392" t="s">
        <v>341</v>
      </c>
      <c r="C15" s="393" t="str">
        <f>_xll.ciqfunctions.udf.CIQ(B15, "IQ_COMPANY_NAME")</f>
        <v>Quanta Services, Inc.</v>
      </c>
      <c r="D15" s="400">
        <f>_xll.ciqfunctions.udf.CIQ($B15, "IQ_AR_TURNS", IQ_FY, D$12)</f>
        <v>3.85839</v>
      </c>
      <c r="E15" s="400">
        <f>_xll.ciqfunctions.udf.CIQ($B15, "IQ_AR_TURNS", IQ_FY, E$12)</f>
        <v>4.1383099999999997</v>
      </c>
      <c r="F15" s="400">
        <f>_xll.ciqfunctions.udf.CIQ($B15, "IQ_AR_TURNS", IQ_FY, F$12)</f>
        <v>3.7576299999999998</v>
      </c>
      <c r="G15" s="400">
        <f>_xll.ciqfunctions.udf.CIQ($B15, "IQ_AR_TURNS", IQ_FY, G$12)</f>
        <v>3.7576299999999998</v>
      </c>
      <c r="H15" s="400">
        <f>_xll.ciqfunctions.udf.CIQ($B15, "IQ_AR_TURNS", IQ_FY, H$12)</f>
        <v>4.2490699999999997</v>
      </c>
      <c r="I15" s="400">
        <f>_xll.ciqfunctions.udf.CIQ($B15, "IQ_AR_TURNS", IQ_FY, I$12)</f>
        <v>4.1268700000000003</v>
      </c>
      <c r="J15" s="400">
        <f>_xll.ciqfunctions.udf.CIQ($B15, "IQ_AR_TURNS", IQ_FY, J$12)</f>
        <v>3.8568799999999999</v>
      </c>
      <c r="K15" s="400">
        <f>_xll.ciqfunctions.udf.CIQ($B15, "IQ_AR_TURNS", IQ_FY, K$12)</f>
        <v>3.4368799999999999</v>
      </c>
      <c r="L15" s="400">
        <f>_xll.ciqfunctions.udf.CIQ($B15, "IQ_AR_TURNS", IQ_FY, L$12)</f>
        <v>3.5206900000000001</v>
      </c>
      <c r="M15" s="401">
        <f>_xll.ciqfunctions.udf.CIQ($B15, "IQ_AR_TURNS", IQ_FY, M$12)</f>
        <v>3.8117800000000002</v>
      </c>
    </row>
    <row r="17" spans="2:13" x14ac:dyDescent="0.25">
      <c r="B17" s="406" t="s">
        <v>334</v>
      </c>
      <c r="C17" s="407"/>
      <c r="D17" s="407"/>
      <c r="E17" s="407"/>
      <c r="F17" s="407"/>
      <c r="G17" s="407"/>
      <c r="H17" s="407"/>
      <c r="I17" s="407"/>
      <c r="J17" s="407"/>
      <c r="K17" s="407"/>
      <c r="L17" s="407"/>
      <c r="M17" s="408"/>
    </row>
    <row r="18" spans="2:13" x14ac:dyDescent="0.25">
      <c r="B18" s="409" t="s">
        <v>110</v>
      </c>
      <c r="C18" s="410" t="s">
        <v>328</v>
      </c>
      <c r="D18" s="411">
        <v>41639</v>
      </c>
      <c r="E18" s="411">
        <v>42004</v>
      </c>
      <c r="F18" s="411">
        <v>42369</v>
      </c>
      <c r="G18" s="411">
        <f>F18+365</f>
        <v>42734</v>
      </c>
      <c r="H18" s="411">
        <f>G18+366</f>
        <v>43100</v>
      </c>
      <c r="I18" s="411">
        <f t="shared" ref="I18:J18" si="4">H18+365</f>
        <v>43465</v>
      </c>
      <c r="J18" s="411">
        <f t="shared" si="4"/>
        <v>43830</v>
      </c>
      <c r="K18" s="411">
        <f>J18+366</f>
        <v>44196</v>
      </c>
      <c r="L18" s="411">
        <f>K18+365</f>
        <v>44561</v>
      </c>
      <c r="M18" s="412">
        <f t="shared" ref="M18" si="5">L18+365</f>
        <v>44926</v>
      </c>
    </row>
    <row r="19" spans="2:13" x14ac:dyDescent="0.25">
      <c r="B19" s="389" t="s">
        <v>340</v>
      </c>
      <c r="C19" s="6" t="str">
        <f>_xll.ciqfunctions.udf.CIQ(B19, "IQ_COMPANY_NAME")</f>
        <v>MasTec, Inc.</v>
      </c>
      <c r="D19" s="398">
        <f>_xll.ciqfunctions.udf.CIQ($B19, "IQ_INVENTORY_TURNS", IQ_FY, D$18)</f>
        <v>47.784469999999999</v>
      </c>
      <c r="E19" s="398">
        <f>_xll.ciqfunctions.udf.CIQ($B19, "IQ_INVENTORY_TURNS", IQ_FY, E$18)</f>
        <v>43.477620000000002</v>
      </c>
      <c r="F19" s="398">
        <f>_xll.ciqfunctions.udf.CIQ($B19, "IQ_INVENTORY_TURNS", IQ_FY, F$18)</f>
        <v>36.590440000000001</v>
      </c>
      <c r="G19" s="398">
        <f>_xll.ciqfunctions.udf.CIQ($B19, "IQ_INVENTORY_TURNS", IQ_FY, G$18)</f>
        <v>36.590440000000001</v>
      </c>
      <c r="H19" s="398">
        <f>_xll.ciqfunctions.udf.CIQ($B19, "IQ_INVENTORY_TURNS", IQ_FY, H$18)</f>
        <v>61.112810000000003</v>
      </c>
      <c r="I19" s="398">
        <f>_xll.ciqfunctions.udf.CIQ($B19, "IQ_INVENTORY_TURNS", IQ_FY, I$18)</f>
        <v>62.28922</v>
      </c>
      <c r="J19" s="398">
        <f>_xll.ciqfunctions.udf.CIQ($B19, "IQ_INVENTORY_TURNS", IQ_FY, J$18)</f>
        <v>56.790170000000003</v>
      </c>
      <c r="K19" s="398">
        <f>_xll.ciqfunctions.udf.CIQ($B19, "IQ_INVENTORY_TURNS", IQ_FY, K$18)</f>
        <v>55.566580000000002</v>
      </c>
      <c r="L19" s="398">
        <f>_xll.ciqfunctions.udf.CIQ($B19, "IQ_INVENTORY_TURNS", IQ_FY, L$18)</f>
        <v>74.689800000000005</v>
      </c>
      <c r="M19" s="399">
        <f>_xll.ciqfunctions.udf.CIQ($B19, "IQ_INVENTORY_TURNS", IQ_FY, M$18)</f>
        <v>81.277259999999998</v>
      </c>
    </row>
    <row r="20" spans="2:13" x14ac:dyDescent="0.25">
      <c r="B20" s="389" t="s">
        <v>342</v>
      </c>
      <c r="C20" s="6" t="str">
        <f>_xll.ciqfunctions.udf.CIQ(B20, "IQ_COMPANY_NAME")</f>
        <v>MYR Group Inc.</v>
      </c>
      <c r="D20" s="398">
        <f>_xll.ciqfunctions.udf.CIQ($B20, "IQ_INVENTORY_TURNS", IQ_FY, D$18)</f>
        <v>0</v>
      </c>
      <c r="E20" s="398">
        <f>_xll.ciqfunctions.udf.CIQ($B20, "IQ_INVENTORY_TURNS", IQ_FY, E$18)</f>
        <v>0</v>
      </c>
      <c r="F20" s="398">
        <f>_xll.ciqfunctions.udf.CIQ($B20, "IQ_INVENTORY_TURNS", IQ_FY, F$18)</f>
        <v>0</v>
      </c>
      <c r="G20" s="398">
        <f>_xll.ciqfunctions.udf.CIQ($B20, "IQ_INVENTORY_TURNS", IQ_FY, G$18)</f>
        <v>0</v>
      </c>
      <c r="H20" s="398">
        <f>_xll.ciqfunctions.udf.CIQ($B20, "IQ_INVENTORY_TURNS", IQ_FY, H$18)</f>
        <v>0</v>
      </c>
      <c r="I20" s="398">
        <f>_xll.ciqfunctions.udf.CIQ($B20, "IQ_INVENTORY_TURNS", IQ_FY, I$18)</f>
        <v>0</v>
      </c>
      <c r="J20" s="398">
        <f>_xll.ciqfunctions.udf.CIQ($B20, "IQ_INVENTORY_TURNS", IQ_FY, J$18)</f>
        <v>0</v>
      </c>
      <c r="K20" s="398">
        <f>_xll.ciqfunctions.udf.CIQ($B20, "IQ_INVENTORY_TURNS", IQ_FY, K$18)</f>
        <v>0</v>
      </c>
      <c r="L20" s="398">
        <f>_xll.ciqfunctions.udf.CIQ($B20, "IQ_INVENTORY_TURNS", IQ_FY, L$18)</f>
        <v>0</v>
      </c>
      <c r="M20" s="399">
        <f>_xll.ciqfunctions.udf.CIQ($B20, "IQ_INVENTORY_TURNS", IQ_FY, M$18)</f>
        <v>0</v>
      </c>
    </row>
    <row r="21" spans="2:13" x14ac:dyDescent="0.25">
      <c r="B21" s="392" t="s">
        <v>341</v>
      </c>
      <c r="C21" s="393" t="str">
        <f>_xll.ciqfunctions.udf.CIQ(B21, "IQ_COMPANY_NAME")</f>
        <v>Quanta Services, Inc.</v>
      </c>
      <c r="D21" s="400">
        <f>_xll.ciqfunctions.udf.CIQ($B21, "IQ_INVENTORY_TURNS", IQ_FY, D$18)</f>
        <v>154.68487999999999</v>
      </c>
      <c r="E21" s="400">
        <f>_xll.ciqfunctions.udf.CIQ($B21, "IQ_INVENTORY_TURNS", IQ_FY, E$18)</f>
        <v>185.83674999999999</v>
      </c>
      <c r="F21" s="400">
        <f>_xll.ciqfunctions.udf.CIQ($B21, "IQ_INVENTORY_TURNS", IQ_FY, F$18)</f>
        <v>116.43471</v>
      </c>
      <c r="G21" s="400">
        <f>_xll.ciqfunctions.udf.CIQ($B21, "IQ_INVENTORY_TURNS", IQ_FY, G$18)</f>
        <v>116.43471</v>
      </c>
      <c r="H21" s="400">
        <f>_xll.ciqfunctions.udf.CIQ($B21, "IQ_INVENTORY_TURNS", IQ_FY, H$18)</f>
        <v>97.081149999999994</v>
      </c>
      <c r="I21" s="400">
        <f>_xll.ciqfunctions.udf.CIQ($B21, "IQ_INVENTORY_TURNS", IQ_FY, I$18)</f>
        <v>102.76064</v>
      </c>
      <c r="J21" s="400">
        <f>_xll.ciqfunctions.udf.CIQ($B21, "IQ_INVENTORY_TURNS", IQ_FY, J$18)</f>
        <v>128.62449000000001</v>
      </c>
      <c r="K21" s="400">
        <f>_xll.ciqfunctions.udf.CIQ($B21, "IQ_INVENTORY_TURNS", IQ_FY, K$18)</f>
        <v>179.71062000000001</v>
      </c>
      <c r="L21" s="400">
        <f>_xll.ciqfunctions.udf.CIQ($B21, "IQ_INVENTORY_TURNS", IQ_FY, L$18)</f>
        <v>163.20391000000001</v>
      </c>
      <c r="M21" s="401">
        <f>_xll.ciqfunctions.udf.CIQ($B21, "IQ_INVENTORY_TURNS", IQ_FY, M$18)</f>
        <v>154.79393999999999</v>
      </c>
    </row>
  </sheetData>
  <mergeCells count="1">
    <mergeCell ref="B2:D3"/>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1797D-4921-40E9-AA1E-1B9BAC2CA3DA}">
  <sheetPr>
    <tabColor rgb="FF00B0F0"/>
  </sheetPr>
  <dimension ref="A3:M46"/>
  <sheetViews>
    <sheetView showGridLines="0" zoomScale="70" zoomScaleNormal="70" workbookViewId="0">
      <selection activeCell="K49" sqref="K49"/>
    </sheetView>
  </sheetViews>
  <sheetFormatPr defaultRowHeight="11.25" x14ac:dyDescent="0.2"/>
  <cols>
    <col min="1" max="1" width="9.140625" style="396"/>
    <col min="2" max="2" width="25.7109375" style="396" customWidth="1"/>
    <col min="3" max="3" width="30.7109375" style="396" customWidth="1"/>
    <col min="4" max="13" width="15.7109375" style="396" customWidth="1"/>
    <col min="14" max="14" width="14.42578125" style="396" customWidth="1"/>
    <col min="15" max="256" width="9.140625" style="396"/>
    <col min="257" max="257" width="19.140625" style="396" bestFit="1" customWidth="1"/>
    <col min="258" max="260" width="9.140625" style="396"/>
    <col min="261" max="261" width="10.7109375" style="396" bestFit="1" customWidth="1"/>
    <col min="262" max="512" width="9.140625" style="396"/>
    <col min="513" max="513" width="19.140625" style="396" bestFit="1" customWidth="1"/>
    <col min="514" max="516" width="9.140625" style="396"/>
    <col min="517" max="517" width="10.7109375" style="396" bestFit="1" customWidth="1"/>
    <col min="518" max="768" width="9.140625" style="396"/>
    <col min="769" max="769" width="19.140625" style="396" bestFit="1" customWidth="1"/>
    <col min="770" max="772" width="9.140625" style="396"/>
    <col min="773" max="773" width="10.7109375" style="396" bestFit="1" customWidth="1"/>
    <col min="774" max="1024" width="9.140625" style="396"/>
    <col min="1025" max="1025" width="19.140625" style="396" bestFit="1" customWidth="1"/>
    <col min="1026" max="1028" width="9.140625" style="396"/>
    <col min="1029" max="1029" width="10.7109375" style="396" bestFit="1" customWidth="1"/>
    <col min="1030" max="1280" width="9.140625" style="396"/>
    <col min="1281" max="1281" width="19.140625" style="396" bestFit="1" customWidth="1"/>
    <col min="1282" max="1284" width="9.140625" style="396"/>
    <col min="1285" max="1285" width="10.7109375" style="396" bestFit="1" customWidth="1"/>
    <col min="1286" max="1536" width="9.140625" style="396"/>
    <col min="1537" max="1537" width="19.140625" style="396" bestFit="1" customWidth="1"/>
    <col min="1538" max="1540" width="9.140625" style="396"/>
    <col min="1541" max="1541" width="10.7109375" style="396" bestFit="1" customWidth="1"/>
    <col min="1542" max="1792" width="9.140625" style="396"/>
    <col min="1793" max="1793" width="19.140625" style="396" bestFit="1" customWidth="1"/>
    <col min="1794" max="1796" width="9.140625" style="396"/>
    <col min="1797" max="1797" width="10.7109375" style="396" bestFit="1" customWidth="1"/>
    <col min="1798" max="2048" width="9.140625" style="396"/>
    <col min="2049" max="2049" width="19.140625" style="396" bestFit="1" customWidth="1"/>
    <col min="2050" max="2052" width="9.140625" style="396"/>
    <col min="2053" max="2053" width="10.7109375" style="396" bestFit="1" customWidth="1"/>
    <col min="2054" max="2304" width="9.140625" style="396"/>
    <col min="2305" max="2305" width="19.140625" style="396" bestFit="1" customWidth="1"/>
    <col min="2306" max="2308" width="9.140625" style="396"/>
    <col min="2309" max="2309" width="10.7109375" style="396" bestFit="1" customWidth="1"/>
    <col min="2310" max="2560" width="9.140625" style="396"/>
    <col min="2561" max="2561" width="19.140625" style="396" bestFit="1" customWidth="1"/>
    <col min="2562" max="2564" width="9.140625" style="396"/>
    <col min="2565" max="2565" width="10.7109375" style="396" bestFit="1" customWidth="1"/>
    <col min="2566" max="2816" width="9.140625" style="396"/>
    <col min="2817" max="2817" width="19.140625" style="396" bestFit="1" customWidth="1"/>
    <col min="2818" max="2820" width="9.140625" style="396"/>
    <col min="2821" max="2821" width="10.7109375" style="396" bestFit="1" customWidth="1"/>
    <col min="2822" max="3072" width="9.140625" style="396"/>
    <col min="3073" max="3073" width="19.140625" style="396" bestFit="1" customWidth="1"/>
    <col min="3074" max="3076" width="9.140625" style="396"/>
    <col min="3077" max="3077" width="10.7109375" style="396" bestFit="1" customWidth="1"/>
    <col min="3078" max="3328" width="9.140625" style="396"/>
    <col min="3329" max="3329" width="19.140625" style="396" bestFit="1" customWidth="1"/>
    <col min="3330" max="3332" width="9.140625" style="396"/>
    <col min="3333" max="3333" width="10.7109375" style="396" bestFit="1" customWidth="1"/>
    <col min="3334" max="3584" width="9.140625" style="396"/>
    <col min="3585" max="3585" width="19.140625" style="396" bestFit="1" customWidth="1"/>
    <col min="3586" max="3588" width="9.140625" style="396"/>
    <col min="3589" max="3589" width="10.7109375" style="396" bestFit="1" customWidth="1"/>
    <col min="3590" max="3840" width="9.140625" style="396"/>
    <col min="3841" max="3841" width="19.140625" style="396" bestFit="1" customWidth="1"/>
    <col min="3842" max="3844" width="9.140625" style="396"/>
    <col min="3845" max="3845" width="10.7109375" style="396" bestFit="1" customWidth="1"/>
    <col min="3846" max="4096" width="9.140625" style="396"/>
    <col min="4097" max="4097" width="19.140625" style="396" bestFit="1" customWidth="1"/>
    <col min="4098" max="4100" width="9.140625" style="396"/>
    <col min="4101" max="4101" width="10.7109375" style="396" bestFit="1" customWidth="1"/>
    <col min="4102" max="4352" width="9.140625" style="396"/>
    <col min="4353" max="4353" width="19.140625" style="396" bestFit="1" customWidth="1"/>
    <col min="4354" max="4356" width="9.140625" style="396"/>
    <col min="4357" max="4357" width="10.7109375" style="396" bestFit="1" customWidth="1"/>
    <col min="4358" max="4608" width="9.140625" style="396"/>
    <col min="4609" max="4609" width="19.140625" style="396" bestFit="1" customWidth="1"/>
    <col min="4610" max="4612" width="9.140625" style="396"/>
    <col min="4613" max="4613" width="10.7109375" style="396" bestFit="1" customWidth="1"/>
    <col min="4614" max="4864" width="9.140625" style="396"/>
    <col min="4865" max="4865" width="19.140625" style="396" bestFit="1" customWidth="1"/>
    <col min="4866" max="4868" width="9.140625" style="396"/>
    <col min="4869" max="4869" width="10.7109375" style="396" bestFit="1" customWidth="1"/>
    <col min="4870" max="5120" width="9.140625" style="396"/>
    <col min="5121" max="5121" width="19.140625" style="396" bestFit="1" customWidth="1"/>
    <col min="5122" max="5124" width="9.140625" style="396"/>
    <col min="5125" max="5125" width="10.7109375" style="396" bestFit="1" customWidth="1"/>
    <col min="5126" max="5376" width="9.140625" style="396"/>
    <col min="5377" max="5377" width="19.140625" style="396" bestFit="1" customWidth="1"/>
    <col min="5378" max="5380" width="9.140625" style="396"/>
    <col min="5381" max="5381" width="10.7109375" style="396" bestFit="1" customWidth="1"/>
    <col min="5382" max="5632" width="9.140625" style="396"/>
    <col min="5633" max="5633" width="19.140625" style="396" bestFit="1" customWidth="1"/>
    <col min="5634" max="5636" width="9.140625" style="396"/>
    <col min="5637" max="5637" width="10.7109375" style="396" bestFit="1" customWidth="1"/>
    <col min="5638" max="5888" width="9.140625" style="396"/>
    <col min="5889" max="5889" width="19.140625" style="396" bestFit="1" customWidth="1"/>
    <col min="5890" max="5892" width="9.140625" style="396"/>
    <col min="5893" max="5893" width="10.7109375" style="396" bestFit="1" customWidth="1"/>
    <col min="5894" max="6144" width="9.140625" style="396"/>
    <col min="6145" max="6145" width="19.140625" style="396" bestFit="1" customWidth="1"/>
    <col min="6146" max="6148" width="9.140625" style="396"/>
    <col min="6149" max="6149" width="10.7109375" style="396" bestFit="1" customWidth="1"/>
    <col min="6150" max="6400" width="9.140625" style="396"/>
    <col min="6401" max="6401" width="19.140625" style="396" bestFit="1" customWidth="1"/>
    <col min="6402" max="6404" width="9.140625" style="396"/>
    <col min="6405" max="6405" width="10.7109375" style="396" bestFit="1" customWidth="1"/>
    <col min="6406" max="6656" width="9.140625" style="396"/>
    <col min="6657" max="6657" width="19.140625" style="396" bestFit="1" customWidth="1"/>
    <col min="6658" max="6660" width="9.140625" style="396"/>
    <col min="6661" max="6661" width="10.7109375" style="396" bestFit="1" customWidth="1"/>
    <col min="6662" max="6912" width="9.140625" style="396"/>
    <col min="6913" max="6913" width="19.140625" style="396" bestFit="1" customWidth="1"/>
    <col min="6914" max="6916" width="9.140625" style="396"/>
    <col min="6917" max="6917" width="10.7109375" style="396" bestFit="1" customWidth="1"/>
    <col min="6918" max="7168" width="9.140625" style="396"/>
    <col min="7169" max="7169" width="19.140625" style="396" bestFit="1" customWidth="1"/>
    <col min="7170" max="7172" width="9.140625" style="396"/>
    <col min="7173" max="7173" width="10.7109375" style="396" bestFit="1" customWidth="1"/>
    <col min="7174" max="7424" width="9.140625" style="396"/>
    <col min="7425" max="7425" width="19.140625" style="396" bestFit="1" customWidth="1"/>
    <col min="7426" max="7428" width="9.140625" style="396"/>
    <col min="7429" max="7429" width="10.7109375" style="396" bestFit="1" customWidth="1"/>
    <col min="7430" max="7680" width="9.140625" style="396"/>
    <col min="7681" max="7681" width="19.140625" style="396" bestFit="1" customWidth="1"/>
    <col min="7682" max="7684" width="9.140625" style="396"/>
    <col min="7685" max="7685" width="10.7109375" style="396" bestFit="1" customWidth="1"/>
    <col min="7686" max="7936" width="9.140625" style="396"/>
    <col min="7937" max="7937" width="19.140625" style="396" bestFit="1" customWidth="1"/>
    <col min="7938" max="7940" width="9.140625" style="396"/>
    <col min="7941" max="7941" width="10.7109375" style="396" bestFit="1" customWidth="1"/>
    <col min="7942" max="8192" width="9.140625" style="396"/>
    <col min="8193" max="8193" width="19.140625" style="396" bestFit="1" customWidth="1"/>
    <col min="8194" max="8196" width="9.140625" style="396"/>
    <col min="8197" max="8197" width="10.7109375" style="396" bestFit="1" customWidth="1"/>
    <col min="8198" max="8448" width="9.140625" style="396"/>
    <col min="8449" max="8449" width="19.140625" style="396" bestFit="1" customWidth="1"/>
    <col min="8450" max="8452" width="9.140625" style="396"/>
    <col min="8453" max="8453" width="10.7109375" style="396" bestFit="1" customWidth="1"/>
    <col min="8454" max="8704" width="9.140625" style="396"/>
    <col min="8705" max="8705" width="19.140625" style="396" bestFit="1" customWidth="1"/>
    <col min="8706" max="8708" width="9.140625" style="396"/>
    <col min="8709" max="8709" width="10.7109375" style="396" bestFit="1" customWidth="1"/>
    <col min="8710" max="8960" width="9.140625" style="396"/>
    <col min="8961" max="8961" width="19.140625" style="396" bestFit="1" customWidth="1"/>
    <col min="8962" max="8964" width="9.140625" style="396"/>
    <col min="8965" max="8965" width="10.7109375" style="396" bestFit="1" customWidth="1"/>
    <col min="8966" max="9216" width="9.140625" style="396"/>
    <col min="9217" max="9217" width="19.140625" style="396" bestFit="1" customWidth="1"/>
    <col min="9218" max="9220" width="9.140625" style="396"/>
    <col min="9221" max="9221" width="10.7109375" style="396" bestFit="1" customWidth="1"/>
    <col min="9222" max="9472" width="9.140625" style="396"/>
    <col min="9473" max="9473" width="19.140625" style="396" bestFit="1" customWidth="1"/>
    <col min="9474" max="9476" width="9.140625" style="396"/>
    <col min="9477" max="9477" width="10.7109375" style="396" bestFit="1" customWidth="1"/>
    <col min="9478" max="9728" width="9.140625" style="396"/>
    <col min="9729" max="9729" width="19.140625" style="396" bestFit="1" customWidth="1"/>
    <col min="9730" max="9732" width="9.140625" style="396"/>
    <col min="9733" max="9733" width="10.7109375" style="396" bestFit="1" customWidth="1"/>
    <col min="9734" max="9984" width="9.140625" style="396"/>
    <col min="9985" max="9985" width="19.140625" style="396" bestFit="1" customWidth="1"/>
    <col min="9986" max="9988" width="9.140625" style="396"/>
    <col min="9989" max="9989" width="10.7109375" style="396" bestFit="1" customWidth="1"/>
    <col min="9990" max="10240" width="9.140625" style="396"/>
    <col min="10241" max="10241" width="19.140625" style="396" bestFit="1" customWidth="1"/>
    <col min="10242" max="10244" width="9.140625" style="396"/>
    <col min="10245" max="10245" width="10.7109375" style="396" bestFit="1" customWidth="1"/>
    <col min="10246" max="10496" width="9.140625" style="396"/>
    <col min="10497" max="10497" width="19.140625" style="396" bestFit="1" customWidth="1"/>
    <col min="10498" max="10500" width="9.140625" style="396"/>
    <col min="10501" max="10501" width="10.7109375" style="396" bestFit="1" customWidth="1"/>
    <col min="10502" max="10752" width="9.140625" style="396"/>
    <col min="10753" max="10753" width="19.140625" style="396" bestFit="1" customWidth="1"/>
    <col min="10754" max="10756" width="9.140625" style="396"/>
    <col min="10757" max="10757" width="10.7109375" style="396" bestFit="1" customWidth="1"/>
    <col min="10758" max="11008" width="9.140625" style="396"/>
    <col min="11009" max="11009" width="19.140625" style="396" bestFit="1" customWidth="1"/>
    <col min="11010" max="11012" width="9.140625" style="396"/>
    <col min="11013" max="11013" width="10.7109375" style="396" bestFit="1" customWidth="1"/>
    <col min="11014" max="11264" width="9.140625" style="396"/>
    <col min="11265" max="11265" width="19.140625" style="396" bestFit="1" customWidth="1"/>
    <col min="11266" max="11268" width="9.140625" style="396"/>
    <col min="11269" max="11269" width="10.7109375" style="396" bestFit="1" customWidth="1"/>
    <col min="11270" max="11520" width="9.140625" style="396"/>
    <col min="11521" max="11521" width="19.140625" style="396" bestFit="1" customWidth="1"/>
    <col min="11522" max="11524" width="9.140625" style="396"/>
    <col min="11525" max="11525" width="10.7109375" style="396" bestFit="1" customWidth="1"/>
    <col min="11526" max="11776" width="9.140625" style="396"/>
    <col min="11777" max="11777" width="19.140625" style="396" bestFit="1" customWidth="1"/>
    <col min="11778" max="11780" width="9.140625" style="396"/>
    <col min="11781" max="11781" width="10.7109375" style="396" bestFit="1" customWidth="1"/>
    <col min="11782" max="12032" width="9.140625" style="396"/>
    <col min="12033" max="12033" width="19.140625" style="396" bestFit="1" customWidth="1"/>
    <col min="12034" max="12036" width="9.140625" style="396"/>
    <col min="12037" max="12037" width="10.7109375" style="396" bestFit="1" customWidth="1"/>
    <col min="12038" max="12288" width="9.140625" style="396"/>
    <col min="12289" max="12289" width="19.140625" style="396" bestFit="1" customWidth="1"/>
    <col min="12290" max="12292" width="9.140625" style="396"/>
    <col min="12293" max="12293" width="10.7109375" style="396" bestFit="1" customWidth="1"/>
    <col min="12294" max="12544" width="9.140625" style="396"/>
    <col min="12545" max="12545" width="19.140625" style="396" bestFit="1" customWidth="1"/>
    <col min="12546" max="12548" width="9.140625" style="396"/>
    <col min="12549" max="12549" width="10.7109375" style="396" bestFit="1" customWidth="1"/>
    <col min="12550" max="12800" width="9.140625" style="396"/>
    <col min="12801" max="12801" width="19.140625" style="396" bestFit="1" customWidth="1"/>
    <col min="12802" max="12804" width="9.140625" style="396"/>
    <col min="12805" max="12805" width="10.7109375" style="396" bestFit="1" customWidth="1"/>
    <col min="12806" max="13056" width="9.140625" style="396"/>
    <col min="13057" max="13057" width="19.140625" style="396" bestFit="1" customWidth="1"/>
    <col min="13058" max="13060" width="9.140625" style="396"/>
    <col min="13061" max="13061" width="10.7109375" style="396" bestFit="1" customWidth="1"/>
    <col min="13062" max="13312" width="9.140625" style="396"/>
    <col min="13313" max="13313" width="19.140625" style="396" bestFit="1" customWidth="1"/>
    <col min="13314" max="13316" width="9.140625" style="396"/>
    <col min="13317" max="13317" width="10.7109375" style="396" bestFit="1" customWidth="1"/>
    <col min="13318" max="13568" width="9.140625" style="396"/>
    <col min="13569" max="13569" width="19.140625" style="396" bestFit="1" customWidth="1"/>
    <col min="13570" max="13572" width="9.140625" style="396"/>
    <col min="13573" max="13573" width="10.7109375" style="396" bestFit="1" customWidth="1"/>
    <col min="13574" max="13824" width="9.140625" style="396"/>
    <col min="13825" max="13825" width="19.140625" style="396" bestFit="1" customWidth="1"/>
    <col min="13826" max="13828" width="9.140625" style="396"/>
    <col min="13829" max="13829" width="10.7109375" style="396" bestFit="1" customWidth="1"/>
    <col min="13830" max="14080" width="9.140625" style="396"/>
    <col min="14081" max="14081" width="19.140625" style="396" bestFit="1" customWidth="1"/>
    <col min="14082" max="14084" width="9.140625" style="396"/>
    <col min="14085" max="14085" width="10.7109375" style="396" bestFit="1" customWidth="1"/>
    <col min="14086" max="14336" width="9.140625" style="396"/>
    <col min="14337" max="14337" width="19.140625" style="396" bestFit="1" customWidth="1"/>
    <col min="14338" max="14340" width="9.140625" style="396"/>
    <col min="14341" max="14341" width="10.7109375" style="396" bestFit="1" customWidth="1"/>
    <col min="14342" max="14592" width="9.140625" style="396"/>
    <col min="14593" max="14593" width="19.140625" style="396" bestFit="1" customWidth="1"/>
    <col min="14594" max="14596" width="9.140625" style="396"/>
    <col min="14597" max="14597" width="10.7109375" style="396" bestFit="1" customWidth="1"/>
    <col min="14598" max="14848" width="9.140625" style="396"/>
    <col min="14849" max="14849" width="19.140625" style="396" bestFit="1" customWidth="1"/>
    <col min="14850" max="14852" width="9.140625" style="396"/>
    <col min="14853" max="14853" width="10.7109375" style="396" bestFit="1" customWidth="1"/>
    <col min="14854" max="15104" width="9.140625" style="396"/>
    <col min="15105" max="15105" width="19.140625" style="396" bestFit="1" customWidth="1"/>
    <col min="15106" max="15108" width="9.140625" style="396"/>
    <col min="15109" max="15109" width="10.7109375" style="396" bestFit="1" customWidth="1"/>
    <col min="15110" max="15360" width="9.140625" style="396"/>
    <col min="15361" max="15361" width="19.140625" style="396" bestFit="1" customWidth="1"/>
    <col min="15362" max="15364" width="9.140625" style="396"/>
    <col min="15365" max="15365" width="10.7109375" style="396" bestFit="1" customWidth="1"/>
    <col min="15366" max="15616" width="9.140625" style="396"/>
    <col min="15617" max="15617" width="19.140625" style="396" bestFit="1" customWidth="1"/>
    <col min="15618" max="15620" width="9.140625" style="396"/>
    <col min="15621" max="15621" width="10.7109375" style="396" bestFit="1" customWidth="1"/>
    <col min="15622" max="15872" width="9.140625" style="396"/>
    <col min="15873" max="15873" width="19.140625" style="396" bestFit="1" customWidth="1"/>
    <col min="15874" max="15876" width="9.140625" style="396"/>
    <col min="15877" max="15877" width="10.7109375" style="396" bestFit="1" customWidth="1"/>
    <col min="15878" max="16128" width="9.140625" style="396"/>
    <col min="16129" max="16129" width="19.140625" style="396" bestFit="1" customWidth="1"/>
    <col min="16130" max="16132" width="9.140625" style="396"/>
    <col min="16133" max="16133" width="10.7109375" style="396" bestFit="1" customWidth="1"/>
    <col min="16134" max="16384" width="9.140625" style="396"/>
  </cols>
  <sheetData>
    <row r="3" spans="1:13" x14ac:dyDescent="0.2">
      <c r="B3" s="387" t="s">
        <v>331</v>
      </c>
      <c r="C3" s="387"/>
      <c r="D3" s="387"/>
      <c r="E3" s="387"/>
    </row>
    <row r="4" spans="1:13" customFormat="1" ht="15.75" customHeight="1" x14ac:dyDescent="0.25">
      <c r="A4" s="396"/>
      <c r="B4" s="387"/>
      <c r="C4" s="387"/>
      <c r="D4" s="387"/>
      <c r="E4" s="387"/>
    </row>
    <row r="6" spans="1:13" ht="15.75" customHeight="1" x14ac:dyDescent="0.25">
      <c r="B6" s="406" t="s">
        <v>343</v>
      </c>
      <c r="C6" s="407"/>
      <c r="D6" s="407"/>
      <c r="E6" s="407"/>
      <c r="F6" s="407"/>
      <c r="G6" s="407"/>
      <c r="H6" s="407"/>
      <c r="I6" s="407"/>
      <c r="J6" s="407"/>
      <c r="K6" s="407"/>
      <c r="L6" s="407"/>
      <c r="M6" s="408"/>
    </row>
    <row r="7" spans="1:13" ht="15.75" customHeight="1" x14ac:dyDescent="0.25">
      <c r="B7" s="409" t="s">
        <v>110</v>
      </c>
      <c r="C7" s="410" t="s">
        <v>328</v>
      </c>
      <c r="D7" s="411">
        <v>41639</v>
      </c>
      <c r="E7" s="411">
        <v>42004</v>
      </c>
      <c r="F7" s="411">
        <v>42369</v>
      </c>
      <c r="G7" s="411">
        <f>F7+365</f>
        <v>42734</v>
      </c>
      <c r="H7" s="411">
        <f>G7+366</f>
        <v>43100</v>
      </c>
      <c r="I7" s="411">
        <f t="shared" ref="I7:J7" si="0">H7+365</f>
        <v>43465</v>
      </c>
      <c r="J7" s="411">
        <f t="shared" si="0"/>
        <v>43830</v>
      </c>
      <c r="K7" s="411">
        <f>J7+366</f>
        <v>44196</v>
      </c>
      <c r="L7" s="411">
        <f>K7+365</f>
        <v>44561</v>
      </c>
      <c r="M7" s="412">
        <f t="shared" ref="M7" si="1">L7+365</f>
        <v>44926</v>
      </c>
    </row>
    <row r="8" spans="1:13" ht="15.75" customHeight="1" x14ac:dyDescent="0.25">
      <c r="B8" s="389" t="s">
        <v>340</v>
      </c>
      <c r="C8" s="6" t="str">
        <f>_xll.ciqfunctions.udf.CIQ(B8, "IQ_COMPANY_NAME")</f>
        <v>MasTec, Inc.</v>
      </c>
      <c r="D8" s="402">
        <f>_xll.ciqfunctions.udf.CIQ($B8, "IQ_GROSS_MARGIN", IQ_FY, D$7, , , "USD")/100</f>
        <v>0.14854300000000001</v>
      </c>
      <c r="E8" s="402">
        <f>_xll.ciqfunctions.udf.CIQ($B8, "IQ_GROSS_MARGIN", IQ_FY, E$7, , , "USD")/100</f>
        <v>0.137438</v>
      </c>
      <c r="F8" s="402">
        <f>_xll.ciqfunctions.udf.CIQ($B8, "IQ_GROSS_MARGIN", IQ_FY, F$7, , , "USD")/100</f>
        <v>0.11572900000000001</v>
      </c>
      <c r="G8" s="402">
        <f>_xll.ciqfunctions.udf.CIQ($B8, "IQ_GROSS_MARGIN", IQ_FY, G$7, , , "USD")/100</f>
        <v>0.11572900000000001</v>
      </c>
      <c r="H8" s="402">
        <f>_xll.ciqfunctions.udf.CIQ($B8, "IQ_GROSS_MARGIN", IQ_FY, H$7, , , "USD")/100</f>
        <v>0.13041800000000001</v>
      </c>
      <c r="I8" s="402">
        <f>_xll.ciqfunctions.udf.CIQ($B8, "IQ_GROSS_MARGIN", IQ_FY, I$7, , , "USD")/100</f>
        <v>0.140403</v>
      </c>
      <c r="J8" s="402">
        <f>_xll.ciqfunctions.udf.CIQ($B8, "IQ_GROSS_MARGIN", IQ_FY, J$7, , , "USD")/100</f>
        <v>0.15493699999999999</v>
      </c>
      <c r="K8" s="402">
        <f>_xll.ciqfunctions.udf.CIQ($B8, "IQ_GROSS_MARGIN", IQ_FY, K$7, , , "USD")/100</f>
        <v>0.166128</v>
      </c>
      <c r="L8" s="402">
        <f>_xll.ciqfunctions.udf.CIQ($B8, "IQ_GROSS_MARGIN", IQ_FY, L$7, , , "USD")/100</f>
        <v>0.144124</v>
      </c>
      <c r="M8" s="403">
        <f>_xll.ciqfunctions.udf.CIQ($B8, "IQ_GROSS_MARGIN", IQ_FY, M$7, , , "USD")/100</f>
        <v>0.124872</v>
      </c>
    </row>
    <row r="9" spans="1:13" ht="15.75" customHeight="1" x14ac:dyDescent="0.25">
      <c r="B9" s="389" t="s">
        <v>342</v>
      </c>
      <c r="C9" s="6" t="str">
        <f>_xll.ciqfunctions.udf.CIQ(B9, "IQ_COMPANY_NAME")</f>
        <v>MYR Group Inc.</v>
      </c>
      <c r="D9" s="402">
        <f>_xll.ciqfunctions.udf.CIQ($B9, "IQ_GROSS_MARGIN", IQ_FY, D$7, , , "USD")/100</f>
        <v>0.13833200000000001</v>
      </c>
      <c r="E9" s="402">
        <f>_xll.ciqfunctions.udf.CIQ($B9, "IQ_GROSS_MARGIN", IQ_FY, E$7, , , "USD")/100</f>
        <v>0.14027300000000001</v>
      </c>
      <c r="F9" s="402">
        <f>_xll.ciqfunctions.udf.CIQ($B9, "IQ_GROSS_MARGIN", IQ_FY, F$7, , , "USD")/100</f>
        <v>0.115233</v>
      </c>
      <c r="G9" s="402">
        <f>_xll.ciqfunctions.udf.CIQ($B9, "IQ_GROSS_MARGIN", IQ_FY, G$7, , , "USD")/100</f>
        <v>0.115233</v>
      </c>
      <c r="H9" s="402">
        <f>_xll.ciqfunctions.udf.CIQ($B9, "IQ_GROSS_MARGIN", IQ_FY, H$7, , , "USD")/100</f>
        <v>8.9077000000000003E-2</v>
      </c>
      <c r="I9" s="402">
        <f>_xll.ciqfunctions.udf.CIQ($B9, "IQ_GROSS_MARGIN", IQ_FY, I$7, , , "USD")/100</f>
        <v>0.10910600000000001</v>
      </c>
      <c r="J9" s="402">
        <f>_xll.ciqfunctions.udf.CIQ($B9, "IQ_GROSS_MARGIN", IQ_FY, J$7, , , "USD")/100</f>
        <v>0.10339999999999999</v>
      </c>
      <c r="K9" s="402">
        <f>_xll.ciqfunctions.udf.CIQ($B9, "IQ_GROSS_MARGIN", IQ_FY, K$7, , , "USD")/100</f>
        <v>0.122743</v>
      </c>
      <c r="L9" s="402">
        <f>_xll.ciqfunctions.udf.CIQ($B9, "IQ_GROSS_MARGIN", IQ_FY, L$7, , , "USD")/100</f>
        <v>0.130081</v>
      </c>
      <c r="M9" s="403">
        <f>_xll.ciqfunctions.udf.CIQ($B9, "IQ_GROSS_MARGIN", IQ_FY, M$7, , , "USD")/100</f>
        <v>0.114328</v>
      </c>
    </row>
    <row r="10" spans="1:13" ht="15.75" customHeight="1" x14ac:dyDescent="0.25">
      <c r="B10" s="392" t="s">
        <v>341</v>
      </c>
      <c r="C10" s="393" t="str">
        <f>_xll.ciqfunctions.udf.CIQ(B10, "IQ_COMPANY_NAME")</f>
        <v>Quanta Services, Inc.</v>
      </c>
      <c r="D10" s="404">
        <f>_xll.ciqfunctions.udf.CIQ($B10, "IQ_GROSS_MARGIN", IQ_FY, D$7, , , "USD")/100</f>
        <v>0.15392899999999998</v>
      </c>
      <c r="E10" s="404">
        <f>_xll.ciqfunctions.udf.CIQ($B10, "IQ_GROSS_MARGIN", IQ_FY, E$7, , , "USD")/100</f>
        <v>0.150866</v>
      </c>
      <c r="F10" s="404">
        <f>_xll.ciqfunctions.udf.CIQ($B10, "IQ_GROSS_MARGIN", IQ_FY, F$7, , , "USD")/100</f>
        <v>0.12197699999999999</v>
      </c>
      <c r="G10" s="404">
        <f>_xll.ciqfunctions.udf.CIQ($B10, "IQ_GROSS_MARGIN", IQ_FY, G$7, , , "USD")/100</f>
        <v>0.12197699999999999</v>
      </c>
      <c r="H10" s="404">
        <f>_xll.ciqfunctions.udf.CIQ($B10, "IQ_GROSS_MARGIN", IQ_FY, H$7, , , "USD")/100</f>
        <v>0.131185</v>
      </c>
      <c r="I10" s="404">
        <f>_xll.ciqfunctions.udf.CIQ($B10, "IQ_GROSS_MARGIN", IQ_FY, I$7, , , "USD")/100</f>
        <v>0.13247700000000001</v>
      </c>
      <c r="J10" s="404">
        <f>_xll.ciqfunctions.udf.CIQ($B10, "IQ_GROSS_MARGIN", IQ_FY, J$7, , , "USD")/100</f>
        <v>0.13211899999999999</v>
      </c>
      <c r="K10" s="404">
        <f>_xll.ciqfunctions.udf.CIQ($B10, "IQ_GROSS_MARGIN", IQ_FY, K$7, , , "USD")/100</f>
        <v>0.148254</v>
      </c>
      <c r="L10" s="404">
        <f>_xll.ciqfunctions.udf.CIQ($B10, "IQ_GROSS_MARGIN", IQ_FY, L$7, , , "USD")/100</f>
        <v>0.150479</v>
      </c>
      <c r="M10" s="405">
        <f>_xll.ciqfunctions.udf.CIQ($B10, "IQ_GROSS_MARGIN", IQ_FY, M$7, , , "USD")/100</f>
        <v>0.14812900000000001</v>
      </c>
    </row>
    <row r="11" spans="1:13" ht="15.75" customHeight="1" x14ac:dyDescent="0.25">
      <c r="B11" s="6"/>
      <c r="C11" s="6"/>
      <c r="D11" s="6"/>
      <c r="E11" s="6"/>
      <c r="F11" s="6"/>
      <c r="G11" s="6"/>
      <c r="H11" s="6"/>
      <c r="I11" s="6"/>
      <c r="J11" s="6"/>
      <c r="K11" s="6"/>
      <c r="L11" s="6"/>
      <c r="M11" s="6"/>
    </row>
    <row r="12" spans="1:13" ht="15.75" customHeight="1" x14ac:dyDescent="0.25">
      <c r="B12" s="406" t="s">
        <v>344</v>
      </c>
      <c r="C12" s="407"/>
      <c r="D12" s="407"/>
      <c r="E12" s="407"/>
      <c r="F12" s="407"/>
      <c r="G12" s="407"/>
      <c r="H12" s="407"/>
      <c r="I12" s="407"/>
      <c r="J12" s="407"/>
      <c r="K12" s="407"/>
      <c r="L12" s="407"/>
      <c r="M12" s="408"/>
    </row>
    <row r="13" spans="1:13" ht="15.75" customHeight="1" x14ac:dyDescent="0.25">
      <c r="B13" s="409" t="s">
        <v>110</v>
      </c>
      <c r="C13" s="410" t="s">
        <v>328</v>
      </c>
      <c r="D13" s="411">
        <v>41639</v>
      </c>
      <c r="E13" s="411">
        <v>42004</v>
      </c>
      <c r="F13" s="411">
        <v>42369</v>
      </c>
      <c r="G13" s="411">
        <f>F13+365</f>
        <v>42734</v>
      </c>
      <c r="H13" s="411">
        <f>G13+366</f>
        <v>43100</v>
      </c>
      <c r="I13" s="411">
        <f t="shared" ref="I13:J13" si="2">H13+365</f>
        <v>43465</v>
      </c>
      <c r="J13" s="411">
        <f t="shared" si="2"/>
        <v>43830</v>
      </c>
      <c r="K13" s="411">
        <f>J13+366</f>
        <v>44196</v>
      </c>
      <c r="L13" s="411">
        <f>K13+365</f>
        <v>44561</v>
      </c>
      <c r="M13" s="412">
        <f t="shared" ref="M13" si="3">L13+365</f>
        <v>44926</v>
      </c>
    </row>
    <row r="14" spans="1:13" ht="15.75" customHeight="1" x14ac:dyDescent="0.25">
      <c r="B14" s="389" t="s">
        <v>340</v>
      </c>
      <c r="C14" s="6" t="str">
        <f>_xll.ciqfunctions.udf.CIQ(B14, "IQ_COMPANY_NAME")</f>
        <v>MasTec, Inc.</v>
      </c>
      <c r="D14" s="402">
        <f>_xll.ciqfunctions.udf.CIQ($B14, "IQ_NI_MARGIN", IQ_FY, D$13)/100</f>
        <v>3.2591000000000002E-2</v>
      </c>
      <c r="E14" s="402">
        <f>_xll.ciqfunctions.udf.CIQ($B14, "IQ_NI_MARGIN", IQ_FY, E$13)/100</f>
        <v>2.5135999999999999E-2</v>
      </c>
      <c r="F14" s="402">
        <f>_xll.ciqfunctions.udf.CIQ($B14, "IQ_NI_MARGIN", IQ_FY, F$13)/100</f>
        <v>-1.8797999999999999E-2</v>
      </c>
      <c r="G14" s="402">
        <f>_xll.ciqfunctions.udf.CIQ($B14, "IQ_NI_MARGIN", IQ_FY, G$13)/100</f>
        <v>-1.8797999999999999E-2</v>
      </c>
      <c r="H14" s="402">
        <f>_xll.ciqfunctions.udf.CIQ($B14, "IQ_NI_MARGIN", IQ_FY, H$13)/100</f>
        <v>5.2552000000000001E-2</v>
      </c>
      <c r="I14" s="402">
        <f>_xll.ciqfunctions.udf.CIQ($B14, "IQ_NI_MARGIN", IQ_FY, I$13)/100</f>
        <v>3.7580000000000002E-2</v>
      </c>
      <c r="J14" s="402">
        <f>_xll.ciqfunctions.udf.CIQ($B14, "IQ_NI_MARGIN", IQ_FY, J$13)/100</f>
        <v>5.4618E-2</v>
      </c>
      <c r="K14" s="402">
        <f>_xll.ciqfunctions.udf.CIQ($B14, "IQ_NI_MARGIN", IQ_FY, K$13)/100</f>
        <v>5.1075000000000002E-2</v>
      </c>
      <c r="L14" s="402">
        <f>_xll.ciqfunctions.udf.CIQ($B14, "IQ_NI_MARGIN", IQ_FY, L$13)/100</f>
        <v>4.1353000000000001E-2</v>
      </c>
      <c r="M14" s="403">
        <f>_xll.ciqfunctions.udf.CIQ($B14, "IQ_NI_MARGIN", IQ_FY, M$13)/100</f>
        <v>3.411E-3</v>
      </c>
    </row>
    <row r="15" spans="1:13" ht="15.75" customHeight="1" x14ac:dyDescent="0.25">
      <c r="B15" s="389" t="s">
        <v>342</v>
      </c>
      <c r="C15" s="6" t="str">
        <f>_xll.ciqfunctions.udf.CIQ(B15, "IQ_COMPANY_NAME")</f>
        <v>MYR Group Inc.</v>
      </c>
      <c r="D15" s="402">
        <f>_xll.ciqfunctions.udf.CIQ($B15, "IQ_NI_MARGIN", IQ_FY, D$13)/100</f>
        <v>3.8504000000000004E-2</v>
      </c>
      <c r="E15" s="402">
        <f>_xll.ciqfunctions.udf.CIQ($B15, "IQ_NI_MARGIN", IQ_FY, E$13)/100</f>
        <v>3.8713000000000004E-2</v>
      </c>
      <c r="F15" s="402">
        <f>_xll.ciqfunctions.udf.CIQ($B15, "IQ_NI_MARGIN", IQ_FY, F$13)/100</f>
        <v>2.5714999999999998E-2</v>
      </c>
      <c r="G15" s="402">
        <f>_xll.ciqfunctions.udf.CIQ($B15, "IQ_NI_MARGIN", IQ_FY, G$13)/100</f>
        <v>2.5714999999999998E-2</v>
      </c>
      <c r="H15" s="402">
        <f>_xll.ciqfunctions.udf.CIQ($B15, "IQ_NI_MARGIN", IQ_FY, H$13)/100</f>
        <v>1.5074000000000001E-2</v>
      </c>
      <c r="I15" s="402">
        <f>_xll.ciqfunctions.udf.CIQ($B15, "IQ_NI_MARGIN", IQ_FY, I$13)/100</f>
        <v>2.0301999999999997E-2</v>
      </c>
      <c r="J15" s="402">
        <f>_xll.ciqfunctions.udf.CIQ($B15, "IQ_NI_MARGIN", IQ_FY, J$13)/100</f>
        <v>1.8197000000000001E-2</v>
      </c>
      <c r="K15" s="402">
        <f>_xll.ciqfunctions.udf.CIQ($B15, "IQ_NI_MARGIN", IQ_FY, K$13)/100</f>
        <v>2.6145000000000002E-2</v>
      </c>
      <c r="L15" s="402">
        <f>_xll.ciqfunctions.udf.CIQ($B15, "IQ_NI_MARGIN", IQ_FY, L$13)/100</f>
        <v>3.4027000000000002E-2</v>
      </c>
      <c r="M15" s="403">
        <f>_xll.ciqfunctions.udf.CIQ($B15, "IQ_NI_MARGIN", IQ_FY, M$13)/100</f>
        <v>2.7713999999999999E-2</v>
      </c>
    </row>
    <row r="16" spans="1:13" ht="15.75" customHeight="1" x14ac:dyDescent="0.25">
      <c r="B16" s="392" t="s">
        <v>341</v>
      </c>
      <c r="C16" s="393" t="str">
        <f>_xll.ciqfunctions.udf.CIQ(B16, "IQ_COMPANY_NAME")</f>
        <v>Quanta Services, Inc.</v>
      </c>
      <c r="D16" s="404">
        <f>_xll.ciqfunctions.udf.CIQ($B16, "IQ_NI_MARGIN", IQ_FY, D$13)/100</f>
        <v>6.2686000000000006E-2</v>
      </c>
      <c r="E16" s="404">
        <f>_xll.ciqfunctions.udf.CIQ($B16, "IQ_NI_MARGIN", IQ_FY, E$13)/100</f>
        <v>3.8299E-2</v>
      </c>
      <c r="F16" s="404">
        <f>_xll.ciqfunctions.udf.CIQ($B16, "IQ_NI_MARGIN", IQ_FY, F$13)/100</f>
        <v>4.1056999999999996E-2</v>
      </c>
      <c r="G16" s="404">
        <f>_xll.ciqfunctions.udf.CIQ($B16, "IQ_NI_MARGIN", IQ_FY, G$13)/100</f>
        <v>4.1056999999999996E-2</v>
      </c>
      <c r="H16" s="404">
        <f>_xll.ciqfunctions.udf.CIQ($B16, "IQ_NI_MARGIN", IQ_FY, H$13)/100</f>
        <v>3.3271999999999996E-2</v>
      </c>
      <c r="I16" s="404">
        <f>_xll.ciqfunctions.udf.CIQ($B16, "IQ_NI_MARGIN", IQ_FY, I$13)/100</f>
        <v>2.6258E-2</v>
      </c>
      <c r="J16" s="404">
        <f>_xll.ciqfunctions.udf.CIQ($B16, "IQ_NI_MARGIN", IQ_FY, J$13)/100</f>
        <v>3.3193E-2</v>
      </c>
      <c r="K16" s="404">
        <f>_xll.ciqfunctions.udf.CIQ($B16, "IQ_NI_MARGIN", IQ_FY, K$13)/100</f>
        <v>3.9774999999999998E-2</v>
      </c>
      <c r="L16" s="404">
        <f>_xll.ciqfunctions.udf.CIQ($B16, "IQ_NI_MARGIN", IQ_FY, L$13)/100</f>
        <v>3.7437999999999999E-2</v>
      </c>
      <c r="M16" s="405">
        <f>_xll.ciqfunctions.udf.CIQ($B16, "IQ_NI_MARGIN", IQ_FY, M$13)/100</f>
        <v>2.8767999999999998E-2</v>
      </c>
    </row>
    <row r="17" spans="2:13" ht="15.75" customHeight="1" x14ac:dyDescent="0.25">
      <c r="B17" s="6"/>
      <c r="C17" s="6"/>
      <c r="D17" s="6"/>
      <c r="E17" s="6"/>
      <c r="F17" s="6"/>
      <c r="G17" s="6"/>
      <c r="H17" s="6"/>
      <c r="I17" s="6"/>
      <c r="J17" s="6"/>
      <c r="K17" s="6"/>
      <c r="L17" s="6"/>
      <c r="M17" s="6"/>
    </row>
    <row r="18" spans="2:13" ht="15.75" customHeight="1" x14ac:dyDescent="0.25">
      <c r="B18" s="406" t="s">
        <v>237</v>
      </c>
      <c r="C18" s="407"/>
      <c r="D18" s="407"/>
      <c r="E18" s="407"/>
      <c r="F18" s="407"/>
      <c r="G18" s="407"/>
      <c r="H18" s="407"/>
      <c r="I18" s="407"/>
      <c r="J18" s="407"/>
      <c r="K18" s="407"/>
      <c r="L18" s="407"/>
      <c r="M18" s="408"/>
    </row>
    <row r="19" spans="2:13" ht="15.75" customHeight="1" x14ac:dyDescent="0.25">
      <c r="B19" s="409" t="s">
        <v>110</v>
      </c>
      <c r="C19" s="410" t="s">
        <v>328</v>
      </c>
      <c r="D19" s="411">
        <v>41639</v>
      </c>
      <c r="E19" s="411">
        <v>42004</v>
      </c>
      <c r="F19" s="411">
        <v>42369</v>
      </c>
      <c r="G19" s="411">
        <f>F19+365</f>
        <v>42734</v>
      </c>
      <c r="H19" s="411">
        <f>G19+366</f>
        <v>43100</v>
      </c>
      <c r="I19" s="411">
        <f t="shared" ref="I19:J19" si="4">H19+365</f>
        <v>43465</v>
      </c>
      <c r="J19" s="411">
        <f t="shared" si="4"/>
        <v>43830</v>
      </c>
      <c r="K19" s="411">
        <f>J19+366</f>
        <v>44196</v>
      </c>
      <c r="L19" s="411">
        <f>K19+365</f>
        <v>44561</v>
      </c>
      <c r="M19" s="412">
        <f t="shared" ref="M19" si="5">L19+365</f>
        <v>44926</v>
      </c>
    </row>
    <row r="20" spans="2:13" ht="15.75" customHeight="1" x14ac:dyDescent="0.25">
      <c r="B20" s="389" t="s">
        <v>340</v>
      </c>
      <c r="C20" s="6" t="str">
        <f>_xll.ciqfunctions.udf.CIQ(B20, "IQ_COMPANY_NAME")</f>
        <v>MasTec, Inc.</v>
      </c>
      <c r="D20" s="402">
        <f>_xll.ciqfunctions.udf.CIQ($B20, "IQ_EBIT_MARGIN", IQ_FY, D$19)/100</f>
        <v>6.6590999999999997E-2</v>
      </c>
      <c r="E20" s="402">
        <f>_xll.ciqfunctions.udf.CIQ($B20, "IQ_EBIT_MARGIN", IQ_FY, E$19)/100</f>
        <v>5.3423999999999999E-2</v>
      </c>
      <c r="F20" s="402">
        <f>_xll.ciqfunctions.udf.CIQ($B20, "IQ_EBIT_MARGIN", IQ_FY, F$19)/100</f>
        <v>1.6455999999999998E-2</v>
      </c>
      <c r="G20" s="402">
        <f>_xll.ciqfunctions.udf.CIQ($B20, "IQ_EBIT_MARGIN", IQ_FY, G$19)/100</f>
        <v>1.6455999999999998E-2</v>
      </c>
      <c r="H20" s="402">
        <f>_xll.ciqfunctions.udf.CIQ($B20, "IQ_EBIT_MARGIN", IQ_FY, H$19)/100</f>
        <v>6.0407999999999996E-2</v>
      </c>
      <c r="I20" s="402">
        <f>_xll.ciqfunctions.udf.CIQ($B20, "IQ_EBIT_MARGIN", IQ_FY, I$19)/100</f>
        <v>6.8007999999999999E-2</v>
      </c>
      <c r="J20" s="402">
        <f>_xll.ciqfunctions.udf.CIQ($B20, "IQ_EBIT_MARGIN", IQ_FY, J$19)/100</f>
        <v>8.2428000000000001E-2</v>
      </c>
      <c r="K20" s="402">
        <f>_xll.ciqfunctions.udf.CIQ($B20, "IQ_EBIT_MARGIN", IQ_FY, K$19)/100</f>
        <v>7.1406999999999998E-2</v>
      </c>
      <c r="L20" s="402">
        <f>_xll.ciqfunctions.udf.CIQ($B20, "IQ_EBIT_MARGIN", IQ_FY, L$19)/100</f>
        <v>5.3227000000000003E-2</v>
      </c>
      <c r="M20" s="403">
        <f>_xll.ciqfunctions.udf.CIQ($B20, "IQ_EBIT_MARGIN", IQ_FY, M$19)/100</f>
        <v>2.2848999999999998E-2</v>
      </c>
    </row>
    <row r="21" spans="2:13" ht="15.75" customHeight="1" x14ac:dyDescent="0.25">
      <c r="B21" s="389" t="s">
        <v>342</v>
      </c>
      <c r="C21" s="6" t="str">
        <f>_xll.ciqfunctions.udf.CIQ(B21, "IQ_COMPANY_NAME")</f>
        <v>MYR Group Inc.</v>
      </c>
      <c r="D21" s="402">
        <f>_xll.ciqfunctions.udf.CIQ($B21, "IQ_EBIT_MARGIN", IQ_FY, D$19)/100</f>
        <v>6.062E-2</v>
      </c>
      <c r="E21" s="402">
        <f>_xll.ciqfunctions.udf.CIQ($B21, "IQ_EBIT_MARGIN", IQ_FY, E$19)/100</f>
        <v>5.9283000000000002E-2</v>
      </c>
      <c r="F21" s="402">
        <f>_xll.ciqfunctions.udf.CIQ($B21, "IQ_EBIT_MARGIN", IQ_FY, F$19)/100</f>
        <v>4.0298E-2</v>
      </c>
      <c r="G21" s="402">
        <f>_xll.ciqfunctions.udf.CIQ($B21, "IQ_EBIT_MARGIN", IQ_FY, G$19)/100</f>
        <v>4.0298E-2</v>
      </c>
      <c r="H21" s="402">
        <f>_xll.ciqfunctions.udf.CIQ($B21, "IQ_EBIT_MARGIN", IQ_FY, H$19)/100</f>
        <v>1.8450999999999999E-2</v>
      </c>
      <c r="I21" s="402">
        <f>_xll.ciqfunctions.udf.CIQ($B21, "IQ_EBIT_MARGIN", IQ_FY, I$19)/100</f>
        <v>3.0355E-2</v>
      </c>
      <c r="J21" s="402">
        <f>_xll.ciqfunctions.udf.CIQ($B21, "IQ_EBIT_MARGIN", IQ_FY, J$19)/100</f>
        <v>2.5895999999999999E-2</v>
      </c>
      <c r="K21" s="402">
        <f>_xll.ciqfunctions.udf.CIQ($B21, "IQ_EBIT_MARGIN", IQ_FY, K$19)/100</f>
        <v>3.7256999999999998E-2</v>
      </c>
      <c r="L21" s="402">
        <f>_xll.ciqfunctions.udf.CIQ($B21, "IQ_EBIT_MARGIN", IQ_FY, L$19)/100</f>
        <v>4.6216E-2</v>
      </c>
      <c r="M21" s="403">
        <f>_xll.ciqfunctions.udf.CIQ($B21, "IQ_EBIT_MARGIN", IQ_FY, M$19)/100</f>
        <v>3.7402999999999999E-2</v>
      </c>
    </row>
    <row r="22" spans="2:13" ht="15.75" customHeight="1" x14ac:dyDescent="0.25">
      <c r="B22" s="392" t="s">
        <v>341</v>
      </c>
      <c r="C22" s="393" t="str">
        <f>_xll.ciqfunctions.udf.CIQ(B22, "IQ_COMPANY_NAME")</f>
        <v>Quanta Services, Inc.</v>
      </c>
      <c r="D22" s="404">
        <f>_xll.ciqfunctions.udf.CIQ($B22, "IQ_EBIT_MARGIN", IQ_FY, D$19)/100</f>
        <v>7.424E-2</v>
      </c>
      <c r="E22" s="404">
        <f>_xll.ciqfunctions.udf.CIQ($B22, "IQ_EBIT_MARGIN", IQ_FY, E$19)/100</f>
        <v>6.1886999999999998E-2</v>
      </c>
      <c r="F22" s="404">
        <f>_xll.ciqfunctions.udf.CIQ($B22, "IQ_EBIT_MARGIN", IQ_FY, F$19)/100</f>
        <v>3.9558000000000003E-2</v>
      </c>
      <c r="G22" s="404">
        <f>_xll.ciqfunctions.udf.CIQ($B22, "IQ_EBIT_MARGIN", IQ_FY, G$19)/100</f>
        <v>3.9558000000000003E-2</v>
      </c>
      <c r="H22" s="404">
        <f>_xll.ciqfunctions.udf.CIQ($B22, "IQ_EBIT_MARGIN", IQ_FY, H$19)/100</f>
        <v>4.5606000000000001E-2</v>
      </c>
      <c r="I22" s="404">
        <f>_xll.ciqfunctions.udf.CIQ($B22, "IQ_EBIT_MARGIN", IQ_FY, I$19)/100</f>
        <v>5.1773999999999994E-2</v>
      </c>
      <c r="J22" s="404">
        <f>_xll.ciqfunctions.udf.CIQ($B22, "IQ_EBIT_MARGIN", IQ_FY, J$19)/100</f>
        <v>4.8064000000000003E-2</v>
      </c>
      <c r="K22" s="404">
        <f>_xll.ciqfunctions.udf.CIQ($B22, "IQ_EBIT_MARGIN", IQ_FY, K$19)/100</f>
        <v>5.4368E-2</v>
      </c>
      <c r="L22" s="404">
        <f>_xll.ciqfunctions.udf.CIQ($B22, "IQ_EBIT_MARGIN", IQ_FY, L$19)/100</f>
        <v>4.8684000000000005E-2</v>
      </c>
      <c r="M22" s="405">
        <f>_xll.ciqfunctions.udf.CIQ($B22, "IQ_EBIT_MARGIN", IQ_FY, M$19)/100</f>
        <v>4.9107999999999999E-2</v>
      </c>
    </row>
    <row r="23" spans="2:13" ht="15.75" customHeight="1" x14ac:dyDescent="0.25">
      <c r="B23" s="6"/>
      <c r="C23" s="6"/>
      <c r="D23" s="6"/>
      <c r="E23" s="6"/>
      <c r="F23" s="6"/>
      <c r="G23" s="6"/>
      <c r="H23" s="6"/>
      <c r="I23" s="6"/>
      <c r="J23" s="6"/>
      <c r="K23" s="6"/>
      <c r="L23" s="6"/>
      <c r="M23" s="6"/>
    </row>
    <row r="24" spans="2:13" ht="15.75" customHeight="1" x14ac:dyDescent="0.25">
      <c r="B24" s="406" t="s">
        <v>238</v>
      </c>
      <c r="C24" s="407"/>
      <c r="D24" s="407"/>
      <c r="E24" s="407"/>
      <c r="F24" s="407"/>
      <c r="G24" s="407"/>
      <c r="H24" s="407"/>
      <c r="I24" s="407"/>
      <c r="J24" s="407"/>
      <c r="K24" s="407"/>
      <c r="L24" s="407"/>
      <c r="M24" s="408"/>
    </row>
    <row r="25" spans="2:13" ht="15.75" customHeight="1" x14ac:dyDescent="0.25">
      <c r="B25" s="409" t="s">
        <v>110</v>
      </c>
      <c r="C25" s="410" t="s">
        <v>328</v>
      </c>
      <c r="D25" s="411">
        <v>41639</v>
      </c>
      <c r="E25" s="411">
        <v>42004</v>
      </c>
      <c r="F25" s="411">
        <v>42369</v>
      </c>
      <c r="G25" s="411">
        <f>F25+365</f>
        <v>42734</v>
      </c>
      <c r="H25" s="411">
        <f>G25+366</f>
        <v>43100</v>
      </c>
      <c r="I25" s="411">
        <f t="shared" ref="I25:J25" si="6">H25+365</f>
        <v>43465</v>
      </c>
      <c r="J25" s="411">
        <f t="shared" si="6"/>
        <v>43830</v>
      </c>
      <c r="K25" s="411">
        <f>J25+366</f>
        <v>44196</v>
      </c>
      <c r="L25" s="411">
        <f>K25+365</f>
        <v>44561</v>
      </c>
      <c r="M25" s="412">
        <f t="shared" ref="M25" si="7">L25+365</f>
        <v>44926</v>
      </c>
    </row>
    <row r="26" spans="2:13" ht="15.75" customHeight="1" x14ac:dyDescent="0.25">
      <c r="B26" s="389" t="s">
        <v>340</v>
      </c>
      <c r="C26" s="6" t="str">
        <f>_xll.ciqfunctions.udf.CIQ(B26, "IQ_COMPANY_NAME")</f>
        <v>MasTec, Inc.</v>
      </c>
      <c r="D26" s="402">
        <f>_xll.ciqfunctions.udf.CIQ($B26, "IQ_EBITDA_MARGIN", IQ_FY, D$25, , , "USD")/100</f>
        <v>9.9176E-2</v>
      </c>
      <c r="E26" s="402">
        <f>_xll.ciqfunctions.udf.CIQ($B26, "IQ_EBITDA_MARGIN", IQ_FY, E$25, , , "USD")/100</f>
        <v>8.6914999999999992E-2</v>
      </c>
      <c r="F26" s="402">
        <f>_xll.ciqfunctions.udf.CIQ($B26, "IQ_EBITDA_MARGIN", IQ_FY, F$25, , , "USD")/100</f>
        <v>5.6772000000000003E-2</v>
      </c>
      <c r="G26" s="402">
        <f>_xll.ciqfunctions.udf.CIQ($B26, "IQ_EBITDA_MARGIN", IQ_FY, G$25, , , "USD")/100</f>
        <v>5.6772000000000003E-2</v>
      </c>
      <c r="H26" s="402">
        <f>_xll.ciqfunctions.udf.CIQ($B26, "IQ_EBITDA_MARGIN", IQ_FY, H$25, , , "USD")/100</f>
        <v>8.8870000000000005E-2</v>
      </c>
      <c r="I26" s="402">
        <f>_xll.ciqfunctions.udf.CIQ($B26, "IQ_EBITDA_MARGIN", IQ_FY, I$25, , , "USD")/100</f>
        <v>9.8825999999999997E-2</v>
      </c>
      <c r="J26" s="402">
        <f>_xll.ciqfunctions.udf.CIQ($B26, "IQ_EBITDA_MARGIN", IQ_FY, J$25, , , "USD")/100</f>
        <v>0.11521100000000001</v>
      </c>
      <c r="K26" s="402">
        <f>_xll.ciqfunctions.udf.CIQ($B26, "IQ_EBITDA_MARGIN", IQ_FY, K$25, , , "USD")/100</f>
        <v>0.11851200000000001</v>
      </c>
      <c r="L26" s="402">
        <f>_xll.ciqfunctions.udf.CIQ($B26, "IQ_EBITDA_MARGIN", IQ_FY, L$25, , , "USD")/100</f>
        <v>0.10640000000000001</v>
      </c>
      <c r="M26" s="403">
        <f>_xll.ciqfunctions.udf.CIQ($B26, "IQ_EBITDA_MARGIN", IQ_FY, M$25, , , "USD")/100</f>
        <v>7.4715000000000004E-2</v>
      </c>
    </row>
    <row r="27" spans="2:13" ht="15.75" customHeight="1" x14ac:dyDescent="0.25">
      <c r="B27" s="389" t="s">
        <v>342</v>
      </c>
      <c r="C27" s="6" t="str">
        <f>_xll.ciqfunctions.udf.CIQ(B27, "IQ_COMPANY_NAME")</f>
        <v>MYR Group Inc.</v>
      </c>
      <c r="D27" s="402">
        <f>_xll.ciqfunctions.udf.CIQ($B27, "IQ_EBITDA_MARGIN", IQ_FY, D$25, , , "USD")/100</f>
        <v>9.2960999999999988E-2</v>
      </c>
      <c r="E27" s="402">
        <f>_xll.ciqfunctions.udf.CIQ($B27, "IQ_EBITDA_MARGIN", IQ_FY, E$25, , , "USD")/100</f>
        <v>9.4689999999999996E-2</v>
      </c>
      <c r="F27" s="402">
        <f>_xll.ciqfunctions.udf.CIQ($B27, "IQ_EBITDA_MARGIN", IQ_FY, F$25, , , "USD")/100</f>
        <v>7.6117000000000004E-2</v>
      </c>
      <c r="G27" s="402">
        <f>_xll.ciqfunctions.udf.CIQ($B27, "IQ_EBITDA_MARGIN", IQ_FY, G$25, , , "USD")/100</f>
        <v>7.6117000000000004E-2</v>
      </c>
      <c r="H27" s="402">
        <f>_xll.ciqfunctions.udf.CIQ($B27, "IQ_EBITDA_MARGIN", IQ_FY, H$25, , , "USD")/100</f>
        <v>4.5941000000000003E-2</v>
      </c>
      <c r="I27" s="402">
        <f>_xll.ciqfunctions.udf.CIQ($B27, "IQ_EBITDA_MARGIN", IQ_FY, I$25, , , "USD")/100</f>
        <v>5.6422E-2</v>
      </c>
      <c r="J27" s="402">
        <f>_xll.ciqfunctions.udf.CIQ($B27, "IQ_EBITDA_MARGIN", IQ_FY, J$25, , , "USD")/100</f>
        <v>4.7389000000000001E-2</v>
      </c>
      <c r="K27" s="402">
        <f>_xll.ciqfunctions.udf.CIQ($B27, "IQ_EBITDA_MARGIN", IQ_FY, K$25, , , "USD")/100</f>
        <v>5.7926999999999999E-2</v>
      </c>
      <c r="L27" s="402">
        <f>_xll.ciqfunctions.udf.CIQ($B27, "IQ_EBITDA_MARGIN", IQ_FY, L$25, , , "USD")/100</f>
        <v>6.4711000000000005E-2</v>
      </c>
      <c r="M27" s="403">
        <f>_xll.ciqfunctions.udf.CIQ($B27, "IQ_EBITDA_MARGIN", IQ_FY, M$25, , , "USD")/100</f>
        <v>5.6737999999999997E-2</v>
      </c>
    </row>
    <row r="28" spans="2:13" ht="15.75" customHeight="1" x14ac:dyDescent="0.25">
      <c r="B28" s="392" t="s">
        <v>341</v>
      </c>
      <c r="C28" s="393" t="str">
        <f>_xll.ciqfunctions.udf.CIQ(B28, "IQ_COMPANY_NAME")</f>
        <v>Quanta Services, Inc.</v>
      </c>
      <c r="D28" s="404">
        <f>_xll.ciqfunctions.udf.CIQ($B28, "IQ_EBITDA_MARGIN", IQ_FY, D$25, , , "USD")/100</f>
        <v>9.6807999999999991E-2</v>
      </c>
      <c r="E28" s="404">
        <f>_xll.ciqfunctions.udf.CIQ($B28, "IQ_EBITDA_MARGIN", IQ_FY, E$25, , , "USD")/100</f>
        <v>8.4522999999999987E-2</v>
      </c>
      <c r="F28" s="404">
        <f>_xll.ciqfunctions.udf.CIQ($B28, "IQ_EBITDA_MARGIN", IQ_FY, F$25, , , "USD")/100</f>
        <v>6.5665000000000001E-2</v>
      </c>
      <c r="G28" s="404">
        <f>_xll.ciqfunctions.udf.CIQ($B28, "IQ_EBITDA_MARGIN", IQ_FY, G$25, , , "USD")/100</f>
        <v>6.5665000000000001E-2</v>
      </c>
      <c r="H28" s="404">
        <f>_xll.ciqfunctions.udf.CIQ($B28, "IQ_EBITDA_MARGIN", IQ_FY, H$25, , , "USD")/100</f>
        <v>6.8425E-2</v>
      </c>
      <c r="I28" s="404">
        <f>_xll.ciqfunctions.udf.CIQ($B28, "IQ_EBITDA_MARGIN", IQ_FY, I$25, , , "USD")/100</f>
        <v>7.3840000000000003E-2</v>
      </c>
      <c r="J28" s="404">
        <f>_xll.ciqfunctions.udf.CIQ($B28, "IQ_EBITDA_MARGIN", IQ_FY, J$25, , , "USD")/100</f>
        <v>7.1197999999999997E-2</v>
      </c>
      <c r="K28" s="404">
        <f>_xll.ciqfunctions.udf.CIQ($B28, "IQ_EBITDA_MARGIN", IQ_FY, K$25, , , "USD")/100</f>
        <v>8.1321999999999992E-2</v>
      </c>
      <c r="L28" s="404">
        <f>_xll.ciqfunctions.udf.CIQ($B28, "IQ_EBITDA_MARGIN", IQ_FY, L$25, , , "USD")/100</f>
        <v>8.1110000000000002E-2</v>
      </c>
      <c r="M28" s="405">
        <f>_xll.ciqfunctions.udf.CIQ($B28, "IQ_EBITDA_MARGIN", IQ_FY, M$25, , , "USD")/100</f>
        <v>8.6862999999999996E-2</v>
      </c>
    </row>
    <row r="29" spans="2:13" ht="15.75" customHeight="1" x14ac:dyDescent="0.25">
      <c r="B29" s="6"/>
      <c r="C29" s="6"/>
      <c r="D29" s="6"/>
      <c r="E29" s="6"/>
      <c r="F29" s="6"/>
      <c r="G29" s="6"/>
      <c r="H29" s="6"/>
      <c r="I29" s="6"/>
      <c r="J29" s="6"/>
      <c r="K29" s="6"/>
      <c r="L29" s="6"/>
      <c r="M29" s="6"/>
    </row>
    <row r="30" spans="2:13" ht="15.75" customHeight="1" x14ac:dyDescent="0.25">
      <c r="B30" s="406" t="s">
        <v>345</v>
      </c>
      <c r="C30" s="407"/>
      <c r="D30" s="407"/>
      <c r="E30" s="407"/>
      <c r="F30" s="407"/>
      <c r="G30" s="407"/>
      <c r="H30" s="407"/>
      <c r="I30" s="407"/>
      <c r="J30" s="407"/>
      <c r="K30" s="407"/>
      <c r="L30" s="407"/>
      <c r="M30" s="408"/>
    </row>
    <row r="31" spans="2:13" ht="15.75" customHeight="1" x14ac:dyDescent="0.25">
      <c r="B31" s="409" t="s">
        <v>110</v>
      </c>
      <c r="C31" s="410" t="s">
        <v>328</v>
      </c>
      <c r="D31" s="411">
        <v>41639</v>
      </c>
      <c r="E31" s="411">
        <v>42004</v>
      </c>
      <c r="F31" s="411">
        <v>42369</v>
      </c>
      <c r="G31" s="411">
        <f>F31+365</f>
        <v>42734</v>
      </c>
      <c r="H31" s="411">
        <f>G31+366</f>
        <v>43100</v>
      </c>
      <c r="I31" s="411">
        <f t="shared" ref="I31:J31" si="8">H31+365</f>
        <v>43465</v>
      </c>
      <c r="J31" s="411">
        <f t="shared" si="8"/>
        <v>43830</v>
      </c>
      <c r="K31" s="411">
        <f>J31+366</f>
        <v>44196</v>
      </c>
      <c r="L31" s="411">
        <f>K31+365</f>
        <v>44561</v>
      </c>
      <c r="M31" s="412">
        <f t="shared" ref="M31" si="9">L31+365</f>
        <v>44926</v>
      </c>
    </row>
    <row r="32" spans="2:13" ht="15.75" customHeight="1" x14ac:dyDescent="0.25">
      <c r="B32" s="389" t="s">
        <v>340</v>
      </c>
      <c r="C32" s="6" t="str">
        <f>_xll.ciqfunctions.udf.CIQ(B32, "IQ_COMPANY_NAME")</f>
        <v>MasTec, Inc.</v>
      </c>
      <c r="D32" s="402">
        <f>_xll.ciqfunctions.udf.CIQ($B32, "IQ_RETURN_ASSETS", IQ_FY, D$31)/100</f>
        <v>6.7419999999999994E-2</v>
      </c>
      <c r="E32" s="402">
        <f>_xll.ciqfunctions.udf.CIQ($B32, "IQ_RETURN_ASSETS", IQ_FY, E$31)/100</f>
        <v>4.7473999999999995E-2</v>
      </c>
      <c r="F32" s="402">
        <f>_xll.ciqfunctions.udf.CIQ($B32, "IQ_RETURN_ASSETS", IQ_FY, F$31)/100</f>
        <v>1.3335999999999999E-2</v>
      </c>
      <c r="G32" s="402">
        <f>_xll.ciqfunctions.udf.CIQ($B32, "IQ_RETURN_ASSETS", IQ_FY, G$31)/100</f>
        <v>1.3335999999999999E-2</v>
      </c>
      <c r="H32" s="402">
        <f>_xll.ciqfunctions.udf.CIQ($B32, "IQ_RETURN_ASSETS", IQ_FY, H$31)/100</f>
        <v>6.8816000000000002E-2</v>
      </c>
      <c r="I32" s="402">
        <f>_xll.ciqfunctions.udf.CIQ($B32, "IQ_RETURN_ASSETS", IQ_FY, I$31)/100</f>
        <v>6.905E-2</v>
      </c>
      <c r="J32" s="402">
        <f>_xll.ciqfunctions.udf.CIQ($B32, "IQ_RETURN_ASSETS", IQ_FY, J$31)/100</f>
        <v>7.8427999999999998E-2</v>
      </c>
      <c r="K32" s="402">
        <f>_xll.ciqfunctions.udf.CIQ($B32, "IQ_RETURN_ASSETS", IQ_FY, K$31)/100</f>
        <v>5.5178999999999999E-2</v>
      </c>
      <c r="L32" s="402">
        <f>_xll.ciqfunctions.udf.CIQ($B32, "IQ_RETURN_ASSETS", IQ_FY, L$31)/100</f>
        <v>4.2840999999999997E-2</v>
      </c>
      <c r="M32" s="403">
        <f>_xll.ciqfunctions.udf.CIQ($B32, "IQ_RETURN_ASSETS", IQ_FY, M$31)/100</f>
        <v>1.7013E-2</v>
      </c>
    </row>
    <row r="33" spans="2:13" ht="15.75" customHeight="1" x14ac:dyDescent="0.25">
      <c r="B33" s="389" t="s">
        <v>342</v>
      </c>
      <c r="C33" s="6" t="str">
        <f>_xll.ciqfunctions.udf.CIQ(B33, "IQ_COMPANY_NAME")</f>
        <v>MYR Group Inc.</v>
      </c>
      <c r="D33" s="402">
        <f>_xll.ciqfunctions.udf.CIQ($B33, "IQ_RETURN_ASSETS", IQ_FY, D$31)/100</f>
        <v>6.8971999999999992E-2</v>
      </c>
      <c r="E33" s="402">
        <f>_xll.ciqfunctions.udf.CIQ($B33, "IQ_RETURN_ASSETS", IQ_FY, E$31)/100</f>
        <v>6.6906999999999994E-2</v>
      </c>
      <c r="F33" s="402">
        <f>_xll.ciqfunctions.udf.CIQ($B33, "IQ_RETURN_ASSETS", IQ_FY, F$31)/100</f>
        <v>5.1176000000000006E-2</v>
      </c>
      <c r="G33" s="402">
        <f>_xll.ciqfunctions.udf.CIQ($B33, "IQ_RETURN_ASSETS", IQ_FY, G$31)/100</f>
        <v>5.1176000000000006E-2</v>
      </c>
      <c r="H33" s="402">
        <f>_xll.ciqfunctions.udf.CIQ($B33, "IQ_RETURN_ASSETS", IQ_FY, H$31)/100</f>
        <v>2.7493E-2</v>
      </c>
      <c r="I33" s="402">
        <f>_xll.ciqfunctions.udf.CIQ($B33, "IQ_RETURN_ASSETS", IQ_FY, I$31)/100</f>
        <v>4.2956000000000001E-2</v>
      </c>
      <c r="J33" s="402">
        <f>_xll.ciqfunctions.udf.CIQ($B33, "IQ_RETURN_ASSETS", IQ_FY, J$31)/100</f>
        <v>3.8166000000000005E-2</v>
      </c>
      <c r="K33" s="402">
        <f>_xll.ciqfunctions.udf.CIQ($B33, "IQ_RETURN_ASSETS", IQ_FY, K$31)/100</f>
        <v>5.2234999999999997E-2</v>
      </c>
      <c r="L33" s="402">
        <f>_xll.ciqfunctions.udf.CIQ($B33, "IQ_RETURN_ASSETS", IQ_FY, L$31)/100</f>
        <v>6.8177000000000001E-2</v>
      </c>
      <c r="M33" s="403">
        <f>_xll.ciqfunctions.udf.CIQ($B33, "IQ_RETURN_ASSETS", IQ_FY, M$31)/100</f>
        <v>5.5819000000000001E-2</v>
      </c>
    </row>
    <row r="34" spans="2:13" ht="15.75" customHeight="1" x14ac:dyDescent="0.25">
      <c r="B34" s="392" t="s">
        <v>341</v>
      </c>
      <c r="C34" s="393" t="str">
        <f>_xll.ciqfunctions.udf.CIQ(B34, "IQ_COMPANY_NAME")</f>
        <v>Quanta Services, Inc.</v>
      </c>
      <c r="D34" s="404">
        <f>_xll.ciqfunctions.udf.CIQ($B34, "IQ_RETURN_ASSETS", IQ_FY, D$31)/100</f>
        <v>5.4417E-2</v>
      </c>
      <c r="E34" s="404">
        <f>_xll.ciqfunctions.udf.CIQ($B34, "IQ_RETURN_ASSETS", IQ_FY, E$31)/100</f>
        <v>4.9749000000000002E-2</v>
      </c>
      <c r="F34" s="404">
        <f>_xll.ciqfunctions.udf.CIQ($B34, "IQ_RETURN_ASSETS", IQ_FY, F$31)/100</f>
        <v>3.2653000000000001E-2</v>
      </c>
      <c r="G34" s="404">
        <f>_xll.ciqfunctions.udf.CIQ($B34, "IQ_RETURN_ASSETS", IQ_FY, G$31)/100</f>
        <v>3.2653000000000001E-2</v>
      </c>
      <c r="H34" s="404">
        <f>_xll.ciqfunctions.udf.CIQ($B34, "IQ_RETURN_ASSETS", IQ_FY, H$31)/100</f>
        <v>4.5602000000000004E-2</v>
      </c>
      <c r="I34" s="404">
        <f>_xll.ciqfunctions.udf.CIQ($B34, "IQ_RETURN_ASSETS", IQ_FY, I$31)/100</f>
        <v>5.3333999999999999E-2</v>
      </c>
      <c r="J34" s="404">
        <f>_xll.ciqfunctions.udf.CIQ($B34, "IQ_RETURN_ASSETS", IQ_FY, J$31)/100</f>
        <v>4.7230999999999995E-2</v>
      </c>
      <c r="K34" s="404">
        <f>_xll.ciqfunctions.udf.CIQ($B34, "IQ_RETURN_ASSETS", IQ_FY, K$31)/100</f>
        <v>4.5506999999999999E-2</v>
      </c>
      <c r="L34" s="404">
        <f>_xll.ciqfunctions.udf.CIQ($B34, "IQ_RETURN_ASSETS", IQ_FY, L$31)/100</f>
        <v>3.7166000000000005E-2</v>
      </c>
      <c r="M34" s="405">
        <f>_xll.ciqfunctions.udf.CIQ($B34, "IQ_RETURN_ASSETS", IQ_FY, M$31)/100</f>
        <v>3.9821000000000002E-2</v>
      </c>
    </row>
    <row r="35" spans="2:13" ht="15.75" customHeight="1" x14ac:dyDescent="0.25">
      <c r="B35" s="6"/>
      <c r="C35" s="6"/>
      <c r="D35" s="6"/>
      <c r="E35" s="6"/>
      <c r="F35" s="6"/>
      <c r="G35" s="6"/>
      <c r="H35" s="6"/>
      <c r="I35" s="6"/>
      <c r="J35" s="6"/>
      <c r="K35" s="6"/>
      <c r="L35" s="6"/>
      <c r="M35" s="6"/>
    </row>
    <row r="36" spans="2:13" ht="15.75" customHeight="1" x14ac:dyDescent="0.25">
      <c r="B36" s="406" t="s">
        <v>346</v>
      </c>
      <c r="C36" s="407"/>
      <c r="D36" s="407"/>
      <c r="E36" s="407"/>
      <c r="F36" s="407"/>
      <c r="G36" s="407"/>
      <c r="H36" s="407"/>
      <c r="I36" s="407"/>
      <c r="J36" s="407"/>
      <c r="K36" s="407"/>
      <c r="L36" s="407"/>
      <c r="M36" s="408"/>
    </row>
    <row r="37" spans="2:13" ht="15.75" customHeight="1" x14ac:dyDescent="0.25">
      <c r="B37" s="409" t="s">
        <v>110</v>
      </c>
      <c r="C37" s="410" t="s">
        <v>328</v>
      </c>
      <c r="D37" s="411">
        <v>41639</v>
      </c>
      <c r="E37" s="411">
        <v>42004</v>
      </c>
      <c r="F37" s="411">
        <v>42369</v>
      </c>
      <c r="G37" s="411">
        <f>F37+365</f>
        <v>42734</v>
      </c>
      <c r="H37" s="411">
        <f>G37+366</f>
        <v>43100</v>
      </c>
      <c r="I37" s="411">
        <f t="shared" ref="I37:J37" si="10">H37+365</f>
        <v>43465</v>
      </c>
      <c r="J37" s="411">
        <f t="shared" si="10"/>
        <v>43830</v>
      </c>
      <c r="K37" s="411">
        <f>J37+366</f>
        <v>44196</v>
      </c>
      <c r="L37" s="411">
        <f>K37+365</f>
        <v>44561</v>
      </c>
      <c r="M37" s="412">
        <f t="shared" ref="M37" si="11">L37+365</f>
        <v>44926</v>
      </c>
    </row>
    <row r="38" spans="2:13" ht="15.75" customHeight="1" x14ac:dyDescent="0.25">
      <c r="B38" s="389" t="s">
        <v>340</v>
      </c>
      <c r="C38" s="6" t="str">
        <f>_xll.ciqfunctions.udf.CIQ(B38, "IQ_COMPANY_NAME")</f>
        <v>MasTec, Inc.</v>
      </c>
      <c r="D38" s="402">
        <f>_xll.ciqfunctions.udf.CIQ($B38, "IQ_RETURN_EQUITY", IQ_FY, D$37)/100</f>
        <v>0.15685299999999999</v>
      </c>
      <c r="E38" s="402">
        <f>_xll.ciqfunctions.udf.CIQ($B38, "IQ_RETURN_EQUITY", IQ_FY, E$37)/100</f>
        <v>0.11248799999999999</v>
      </c>
      <c r="F38" s="402">
        <f>_xll.ciqfunctions.udf.CIQ($B38, "IQ_RETURN_EQUITY", IQ_FY, F$37)/100</f>
        <v>-7.6216999999999993E-2</v>
      </c>
      <c r="G38" s="402">
        <f>_xll.ciqfunctions.udf.CIQ($B38, "IQ_RETURN_EQUITY", IQ_FY, G$37)/100</f>
        <v>-7.6216999999999993E-2</v>
      </c>
      <c r="H38" s="402">
        <f>_xll.ciqfunctions.udf.CIQ($B38, "IQ_RETURN_EQUITY", IQ_FY, H$37)/100</f>
        <v>0.275038</v>
      </c>
      <c r="I38" s="402">
        <f>_xll.ciqfunctions.udf.CIQ($B38, "IQ_RETURN_EQUITY", IQ_FY, I$37)/100</f>
        <v>0.18350100000000003</v>
      </c>
      <c r="J38" s="402">
        <f>_xll.ciqfunctions.udf.CIQ($B38, "IQ_RETURN_EQUITY", IQ_FY, J$37)/100</f>
        <v>0.24756900000000001</v>
      </c>
      <c r="K38" s="402">
        <f>_xll.ciqfunctions.udf.CIQ($B38, "IQ_RETURN_EQUITY", IQ_FY, K$37)/100</f>
        <v>0.16996600000000001</v>
      </c>
      <c r="L38" s="402">
        <f>_xll.ciqfunctions.udf.CIQ($B38, "IQ_RETURN_EQUITY", IQ_FY, L$37)/100</f>
        <v>0.145395</v>
      </c>
      <c r="M38" s="403">
        <f>_xll.ciqfunctions.udf.CIQ($B38, "IQ_RETURN_EQUITY", IQ_FY, M$37)/100</f>
        <v>1.2824E-2</v>
      </c>
    </row>
    <row r="39" spans="2:13" ht="15.75" customHeight="1" x14ac:dyDescent="0.25">
      <c r="B39" s="389" t="s">
        <v>342</v>
      </c>
      <c r="C39" s="6" t="str">
        <f>_xll.ciqfunctions.udf.CIQ(B39, "IQ_COMPANY_NAME")</f>
        <v>MYR Group Inc.</v>
      </c>
      <c r="D39" s="402">
        <f>_xll.ciqfunctions.udf.CIQ($B39, "IQ_RETURN_EQUITY", IQ_FY, D$37)/100</f>
        <v>0.126217</v>
      </c>
      <c r="E39" s="402">
        <f>_xll.ciqfunctions.udf.CIQ($B39, "IQ_RETURN_EQUITY", IQ_FY, E$37)/100</f>
        <v>0.118142</v>
      </c>
      <c r="F39" s="402">
        <f>_xll.ciqfunctions.udf.CIQ($B39, "IQ_RETURN_EQUITY", IQ_FY, F$37)/100</f>
        <v>8.3691999999999989E-2</v>
      </c>
      <c r="G39" s="402">
        <f>_xll.ciqfunctions.udf.CIQ($B39, "IQ_RETURN_EQUITY", IQ_FY, G$37)/100</f>
        <v>8.3691999999999989E-2</v>
      </c>
      <c r="H39" s="402">
        <f>_xll.ciqfunctions.udf.CIQ($B39, "IQ_RETURN_EQUITY", IQ_FY, H$37)/100</f>
        <v>7.6893000000000003E-2</v>
      </c>
      <c r="I39" s="402">
        <f>_xll.ciqfunctions.udf.CIQ($B39, "IQ_RETURN_EQUITY", IQ_FY, I$37)/100</f>
        <v>0.102351</v>
      </c>
      <c r="J39" s="402">
        <f>_xll.ciqfunctions.udf.CIQ($B39, "IQ_RETURN_EQUITY", IQ_FY, J$37)/100</f>
        <v>0.105129</v>
      </c>
      <c r="K39" s="402">
        <f>_xll.ciqfunctions.udf.CIQ($B39, "IQ_RETURN_EQUITY", IQ_FY, K$37)/100</f>
        <v>0.14805099999999999</v>
      </c>
      <c r="L39" s="402">
        <f>_xll.ciqfunctions.udf.CIQ($B39, "IQ_RETURN_EQUITY", IQ_FY, L$37)/100</f>
        <v>0.17926300000000001</v>
      </c>
      <c r="M39" s="403">
        <f>_xll.ciqfunctions.udf.CIQ($B39, "IQ_RETURN_EQUITY", IQ_FY, M$37)/100</f>
        <v>0.15450900000000001</v>
      </c>
    </row>
    <row r="40" spans="2:13" ht="15.75" customHeight="1" x14ac:dyDescent="0.25">
      <c r="B40" s="392" t="s">
        <v>341</v>
      </c>
      <c r="C40" s="393" t="str">
        <f>_xll.ciqfunctions.udf.CIQ(B40, "IQ_COMPANY_NAME")</f>
        <v>Quanta Services, Inc.</v>
      </c>
      <c r="D40" s="404">
        <f>_xll.ciqfunctions.udf.CIQ($B40, "IQ_RETURN_EQUITY", IQ_FY, D$37)/100</f>
        <v>9.7698999999999994E-2</v>
      </c>
      <c r="E40" s="404">
        <f>_xll.ciqfunctions.udf.CIQ($B40, "IQ_RETURN_EQUITY", IQ_FY, E$37)/100</f>
        <v>6.5608E-2</v>
      </c>
      <c r="F40" s="404">
        <f>_xll.ciqfunctions.udf.CIQ($B40, "IQ_RETURN_EQUITY", IQ_FY, F$37)/100</f>
        <v>3.4466000000000004E-2</v>
      </c>
      <c r="G40" s="404">
        <f>_xll.ciqfunctions.udf.CIQ($B40, "IQ_RETURN_EQUITY", IQ_FY, G$37)/100</f>
        <v>3.4466000000000004E-2</v>
      </c>
      <c r="H40" s="404">
        <f>_xll.ciqfunctions.udf.CIQ($B40, "IQ_RETURN_EQUITY", IQ_FY, H$37)/100</f>
        <v>8.9159000000000002E-2</v>
      </c>
      <c r="I40" s="404">
        <f>_xll.ciqfunctions.udf.CIQ($B40, "IQ_RETURN_EQUITY", IQ_FY, I$37)/100</f>
        <v>7.9989999999999992E-2</v>
      </c>
      <c r="J40" s="404">
        <f>_xll.ciqfunctions.udf.CIQ($B40, "IQ_RETURN_EQUITY", IQ_FY, J$37)/100</f>
        <v>0.106227</v>
      </c>
      <c r="K40" s="404">
        <f>_xll.ciqfunctions.udf.CIQ($B40, "IQ_RETURN_EQUITY", IQ_FY, K$37)/100</f>
        <v>0.107573</v>
      </c>
      <c r="L40" s="404">
        <f>_xll.ciqfunctions.udf.CIQ($B40, "IQ_RETURN_EQUITY", IQ_FY, L$37)/100</f>
        <v>0.103948</v>
      </c>
      <c r="M40" s="405">
        <f>_xll.ciqfunctions.udf.CIQ($B40, "IQ_RETURN_EQUITY", IQ_FY, M$37)/100</f>
        <v>9.7309000000000007E-2</v>
      </c>
    </row>
    <row r="41" spans="2:13" ht="15.75" customHeight="1" x14ac:dyDescent="0.25">
      <c r="B41" s="6"/>
      <c r="C41" s="6"/>
      <c r="D41" s="6"/>
      <c r="E41" s="6"/>
      <c r="F41" s="6"/>
      <c r="G41" s="6"/>
      <c r="H41" s="6"/>
      <c r="I41" s="6"/>
      <c r="J41" s="6"/>
      <c r="K41" s="6"/>
      <c r="L41" s="6"/>
      <c r="M41" s="6"/>
    </row>
    <row r="42" spans="2:13" ht="15.75" x14ac:dyDescent="0.25">
      <c r="B42" s="406" t="s">
        <v>347</v>
      </c>
      <c r="C42" s="407"/>
      <c r="D42" s="407"/>
      <c r="E42" s="407"/>
      <c r="F42" s="407"/>
      <c r="G42" s="407"/>
      <c r="H42" s="407"/>
      <c r="I42" s="407"/>
      <c r="J42" s="407"/>
      <c r="K42" s="407"/>
      <c r="L42" s="407"/>
      <c r="M42" s="408"/>
    </row>
    <row r="43" spans="2:13" ht="15.75" x14ac:dyDescent="0.25">
      <c r="B43" s="409" t="s">
        <v>110</v>
      </c>
      <c r="C43" s="410" t="s">
        <v>328</v>
      </c>
      <c r="D43" s="411">
        <v>41639</v>
      </c>
      <c r="E43" s="411">
        <v>42004</v>
      </c>
      <c r="F43" s="411">
        <v>42369</v>
      </c>
      <c r="G43" s="411">
        <f>F43+365</f>
        <v>42734</v>
      </c>
      <c r="H43" s="411">
        <f>G43+366</f>
        <v>43100</v>
      </c>
      <c r="I43" s="411">
        <f t="shared" ref="I43" si="12">H43+365</f>
        <v>43465</v>
      </c>
      <c r="J43" s="411">
        <f t="shared" ref="J43" si="13">I43+365</f>
        <v>43830</v>
      </c>
      <c r="K43" s="411">
        <f>J43+366</f>
        <v>44196</v>
      </c>
      <c r="L43" s="411">
        <f>K43+365</f>
        <v>44561</v>
      </c>
      <c r="M43" s="412">
        <f t="shared" ref="M43" si="14">L43+365</f>
        <v>44926</v>
      </c>
    </row>
    <row r="44" spans="2:13" ht="15.75" x14ac:dyDescent="0.25">
      <c r="B44" s="389" t="s">
        <v>340</v>
      </c>
      <c r="C44" s="6" t="str">
        <f>_xll.ciqfunctions.udf.CIQ(B44, "IQ_COMPANY_NAME")</f>
        <v>MasTec, Inc.</v>
      </c>
      <c r="D44" s="402">
        <f>_xll.ciqfunctions.udf.CIQ($B44, "IQ_RETURN_INVESTED_CAPITAL", IQ_FY, D$43)/100</f>
        <v>8.5458999999999993E-2</v>
      </c>
      <c r="E44" s="402">
        <f>_xll.ciqfunctions.udf.CIQ($B44, "IQ_RETURN_INVESTED_CAPITAL", IQ_FY, E$43)/100</f>
        <v>5.6262999999999994E-2</v>
      </c>
      <c r="F44" s="402">
        <f>_xll.ciqfunctions.udf.CIQ($B44, "IQ_RETURN_INVESTED_CAPITAL", IQ_FY, F$43)/100</f>
        <v>-3.7345999999999997E-2</v>
      </c>
      <c r="G44" s="402">
        <f>_xll.ciqfunctions.udf.CIQ($B44, "IQ_RETURN_INVESTED_CAPITAL", IQ_FY, G$43)/100</f>
        <v>-3.7345999999999997E-2</v>
      </c>
      <c r="H44" s="402">
        <f>_xll.ciqfunctions.udf.CIQ($B44, "IQ_RETURN_INVESTED_CAPITAL", IQ_FY, H$43)/100</f>
        <v>0.14081299999999999</v>
      </c>
      <c r="I44" s="402">
        <f>_xll.ciqfunctions.udf.CIQ($B44, "IQ_RETURN_INVESTED_CAPITAL", IQ_FY, I$43)/100</f>
        <v>9.2720999999999998E-2</v>
      </c>
      <c r="J44" s="402">
        <f>_xll.ciqfunctions.udf.CIQ($B44, "IQ_RETURN_INVESTED_CAPITAL", IQ_FY, J$43)/100</f>
        <v>0.125363</v>
      </c>
      <c r="K44" s="402">
        <f>_xll.ciqfunctions.udf.CIQ($B44, "IQ_RETURN_INVESTED_CAPITAL", IQ_FY, K$43)/100</f>
        <v>9.2804999999999999E-2</v>
      </c>
      <c r="L44" s="402">
        <f>_xll.ciqfunctions.udf.CIQ($B44, "IQ_RETURN_INVESTED_CAPITAL", IQ_FY, L$43)/100</f>
        <v>7.8978000000000007E-2</v>
      </c>
      <c r="M44" s="403">
        <f>_xll.ciqfunctions.udf.CIQ($B44, "IQ_RETURN_INVESTED_CAPITAL", IQ_FY, M$43)/100</f>
        <v>6.0169999999999998E-3</v>
      </c>
    </row>
    <row r="45" spans="2:13" ht="15.75" x14ac:dyDescent="0.25">
      <c r="B45" s="389" t="s">
        <v>342</v>
      </c>
      <c r="C45" s="6" t="str">
        <f>_xll.ciqfunctions.udf.CIQ(B45, "IQ_COMPANY_NAME")</f>
        <v>MYR Group Inc.</v>
      </c>
      <c r="D45" s="402">
        <f>_xll.ciqfunctions.udf.CIQ($B45, "IQ_RETURN_INVESTED_CAPITAL", IQ_FY, D$43)/100</f>
        <v>0.126217</v>
      </c>
      <c r="E45" s="402">
        <f>_xll.ciqfunctions.udf.CIQ($B45, "IQ_RETURN_INVESTED_CAPITAL", IQ_FY, E$43)/100</f>
        <v>0.118142</v>
      </c>
      <c r="F45" s="402">
        <f>_xll.ciqfunctions.udf.CIQ($B45, "IQ_RETURN_INVESTED_CAPITAL", IQ_FY, F$43)/100</f>
        <v>8.3691999999999989E-2</v>
      </c>
      <c r="G45" s="402">
        <f>_xll.ciqfunctions.udf.CIQ($B45, "IQ_RETURN_INVESTED_CAPITAL", IQ_FY, G$43)/100</f>
        <v>8.3691999999999989E-2</v>
      </c>
      <c r="H45" s="402">
        <f>_xll.ciqfunctions.udf.CIQ($B45, "IQ_RETURN_INVESTED_CAPITAL", IQ_FY, H$43)/100</f>
        <v>6.071E-2</v>
      </c>
      <c r="I45" s="402">
        <f>_xll.ciqfunctions.udf.CIQ($B45, "IQ_RETURN_INVESTED_CAPITAL", IQ_FY, I$43)/100</f>
        <v>7.9041E-2</v>
      </c>
      <c r="J45" s="402">
        <f>_xll.ciqfunctions.udf.CIQ($B45, "IQ_RETURN_INVESTED_CAPITAL", IQ_FY, J$43)/100</f>
        <v>7.7571000000000001E-2</v>
      </c>
      <c r="K45" s="402">
        <f>_xll.ciqfunctions.udf.CIQ($B45, "IQ_RETURN_INVESTED_CAPITAL", IQ_FY, K$43)/100</f>
        <v>0.11340799999999999</v>
      </c>
      <c r="L45" s="402">
        <f>_xll.ciqfunctions.udf.CIQ($B45, "IQ_RETURN_INVESTED_CAPITAL", IQ_FY, L$43)/100</f>
        <v>0.165716</v>
      </c>
      <c r="M45" s="403">
        <f>_xll.ciqfunctions.udf.CIQ($B45, "IQ_RETURN_INVESTED_CAPITAL", IQ_FY, M$43)/100</f>
        <v>0.141401</v>
      </c>
    </row>
    <row r="46" spans="2:13" ht="15.75" x14ac:dyDescent="0.25">
      <c r="B46" s="392" t="s">
        <v>341</v>
      </c>
      <c r="C46" s="393" t="str">
        <f>_xll.ciqfunctions.udf.CIQ(B46, "IQ_COMPANY_NAME")</f>
        <v>Quanta Services, Inc.</v>
      </c>
      <c r="D46" s="404">
        <f>_xll.ciqfunctions.udf.CIQ($B46, "IQ_RETURN_INVESTED_CAPITAL", IQ_FY, D$43)/100</f>
        <v>0.10028600000000001</v>
      </c>
      <c r="E46" s="404">
        <f>_xll.ciqfunctions.udf.CIQ($B46, "IQ_RETURN_INVESTED_CAPITAL", IQ_FY, E$43)/100</f>
        <v>6.7049999999999998E-2</v>
      </c>
      <c r="F46" s="404">
        <f>_xll.ciqfunctions.udf.CIQ($B46, "IQ_RETURN_INVESTED_CAPITAL", IQ_FY, F$43)/100</f>
        <v>7.6041999999999998E-2</v>
      </c>
      <c r="G46" s="404">
        <f>_xll.ciqfunctions.udf.CIQ($B46, "IQ_RETURN_INVESTED_CAPITAL", IQ_FY, G$43)/100</f>
        <v>7.6041999999999998E-2</v>
      </c>
      <c r="H46" s="404">
        <f>_xll.ciqfunctions.udf.CIQ($B46, "IQ_RETURN_INVESTED_CAPITAL", IQ_FY, H$43)/100</f>
        <v>7.7091999999999994E-2</v>
      </c>
      <c r="I46" s="404">
        <f>_xll.ciqfunctions.udf.CIQ($B46, "IQ_RETURN_INVESTED_CAPITAL", IQ_FY, I$43)/100</f>
        <v>6.3915E-2</v>
      </c>
      <c r="J46" s="404">
        <f>_xll.ciqfunctions.udf.CIQ($B46, "IQ_RETURN_INVESTED_CAPITAL", IQ_FY, J$43)/100</f>
        <v>7.2696999999999998E-2</v>
      </c>
      <c r="K46" s="404">
        <f>_xll.ciqfunctions.udf.CIQ($B46, "IQ_RETURN_INVESTED_CAPITAL", IQ_FY, K$43)/100</f>
        <v>7.2395000000000001E-2</v>
      </c>
      <c r="L46" s="404">
        <f>_xll.ciqfunctions.udf.CIQ($B46, "IQ_RETURN_INVESTED_CAPITAL", IQ_FY, L$43)/100</f>
        <v>6.0575000000000004E-2</v>
      </c>
      <c r="M46" s="405">
        <f>_xll.ciqfunctions.udf.CIQ($B46, "IQ_RETURN_INVESTED_CAPITAL", IQ_FY, M$43)/100</f>
        <v>4.8679E-2</v>
      </c>
    </row>
  </sheetData>
  <mergeCells count="1">
    <mergeCell ref="B3: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644B-BA5E-4126-82DE-191DF22521B8}">
  <sheetPr>
    <tabColor theme="8" tint="-0.249977111117893"/>
  </sheetPr>
  <dimension ref="A2:W65"/>
  <sheetViews>
    <sheetView showGridLines="0" zoomScaleNormal="100" workbookViewId="0">
      <pane xSplit="5" ySplit="4" topLeftCell="F14" activePane="bottomRight" state="frozen"/>
      <selection pane="topRight" activeCell="F1" sqref="F1"/>
      <selection pane="bottomLeft" activeCell="A5" sqref="A5"/>
      <selection pane="bottomRight" activeCell="K25" sqref="K25"/>
    </sheetView>
  </sheetViews>
  <sheetFormatPr defaultColWidth="12.7109375" defaultRowHeight="15.75" customHeight="1" x14ac:dyDescent="0.25"/>
  <cols>
    <col min="1" max="1" width="5.7109375" style="64" customWidth="1"/>
    <col min="2" max="4" width="12.7109375" style="64"/>
    <col min="5" max="5" width="12.7109375" style="64" customWidth="1"/>
    <col min="6" max="15" width="15.7109375" style="64" customWidth="1"/>
    <col min="16" max="16384" width="12.7109375" style="64"/>
  </cols>
  <sheetData>
    <row r="2" spans="1:23" ht="15.75" customHeight="1" x14ac:dyDescent="0.25">
      <c r="B2" s="69" t="s">
        <v>3</v>
      </c>
    </row>
    <row r="3" spans="1:23" ht="15.75" customHeight="1" x14ac:dyDescent="0.25">
      <c r="B3" s="73"/>
    </row>
    <row r="4" spans="1:23" ht="15.75" customHeight="1" thickBot="1" x14ac:dyDescent="0.3">
      <c r="B4" s="70" t="s">
        <v>5</v>
      </c>
      <c r="C4" s="70"/>
      <c r="D4" s="70"/>
      <c r="E4" s="70"/>
      <c r="F4" s="291">
        <v>2018</v>
      </c>
      <c r="G4" s="291">
        <v>2019</v>
      </c>
      <c r="H4" s="291">
        <v>2020</v>
      </c>
      <c r="I4" s="291">
        <v>2021</v>
      </c>
      <c r="J4" s="291">
        <v>2022</v>
      </c>
      <c r="K4" s="292">
        <f>J4+1</f>
        <v>2023</v>
      </c>
      <c r="L4" s="292">
        <f t="shared" ref="L4:N4" si="0">K4+1</f>
        <v>2024</v>
      </c>
      <c r="M4" s="292">
        <f t="shared" si="0"/>
        <v>2025</v>
      </c>
      <c r="N4" s="292">
        <f t="shared" si="0"/>
        <v>2026</v>
      </c>
      <c r="O4" s="292">
        <f t="shared" ref="O4" si="1">N4+1</f>
        <v>2027</v>
      </c>
      <c r="R4" s="66"/>
      <c r="S4" s="66"/>
      <c r="T4" s="66"/>
      <c r="U4" s="66"/>
      <c r="V4" s="66"/>
      <c r="W4" s="66"/>
    </row>
    <row r="5" spans="1:23" ht="15.75" customHeight="1" x14ac:dyDescent="0.25">
      <c r="B5" s="65" t="s">
        <v>4</v>
      </c>
      <c r="J5" s="71"/>
      <c r="R5" s="66"/>
      <c r="S5" s="66"/>
      <c r="T5" s="66"/>
      <c r="U5" s="66"/>
      <c r="V5" s="66"/>
      <c r="W5" s="66"/>
    </row>
    <row r="6" spans="1:23" ht="15.75" customHeight="1" x14ac:dyDescent="0.25">
      <c r="J6" s="72"/>
      <c r="R6" s="66"/>
      <c r="S6" s="66"/>
      <c r="T6" s="66"/>
      <c r="U6" s="66"/>
      <c r="V6" s="66"/>
      <c r="W6" s="66"/>
    </row>
    <row r="7" spans="1:23" s="73" customFormat="1" ht="15.75" customHeight="1" x14ac:dyDescent="0.25">
      <c r="A7" s="64" t="s">
        <v>213</v>
      </c>
      <c r="B7" s="73" t="s">
        <v>157</v>
      </c>
      <c r="F7" s="74">
        <v>11171.423000000001</v>
      </c>
      <c r="G7" s="74">
        <v>12112.153</v>
      </c>
      <c r="H7" s="74">
        <v>11202.672</v>
      </c>
      <c r="I7" s="74">
        <v>12980.213</v>
      </c>
      <c r="J7" s="74">
        <v>17073.902999999998</v>
      </c>
      <c r="K7" s="94">
        <f>'Revenue Build'!J7</f>
        <v>18718.037724252888</v>
      </c>
      <c r="L7" s="74">
        <f ca="1">'Revenue Build'!K7</f>
        <v>21741.008609056091</v>
      </c>
      <c r="M7" s="74">
        <f ca="1">'Revenue Build'!L7</f>
        <v>24201.6343161488</v>
      </c>
      <c r="N7" s="74">
        <f ca="1">'Revenue Build'!M7</f>
        <v>26807.046358186759</v>
      </c>
      <c r="O7" s="74">
        <f ca="1">'Revenue Build'!N7</f>
        <v>28715.342396806616</v>
      </c>
      <c r="Q7" s="54"/>
      <c r="R7" s="54"/>
      <c r="S7" s="54"/>
      <c r="T7" s="54"/>
      <c r="U7" s="54"/>
      <c r="V7" s="66"/>
      <c r="W7" s="66"/>
    </row>
    <row r="8" spans="1:23" ht="15.75" customHeight="1" x14ac:dyDescent="0.25">
      <c r="B8" s="81" t="s">
        <v>168</v>
      </c>
      <c r="F8" s="63">
        <v>-9488.94</v>
      </c>
      <c r="G8" s="63">
        <v>-10293.794</v>
      </c>
      <c r="H8" s="63">
        <v>-9316.5690000000013</v>
      </c>
      <c r="I8" s="63">
        <v>-10771.424999999999</v>
      </c>
      <c r="J8" s="63">
        <v>-14254.100999999999</v>
      </c>
      <c r="K8" s="171">
        <f ca="1">'Metrics &amp; Drivers'!I9</f>
        <v>-15535.971311129897</v>
      </c>
      <c r="L8" s="166">
        <f ca="1">'Metrics &amp; Drivers'!J9</f>
        <v>-17936.332102471275</v>
      </c>
      <c r="M8" s="166">
        <f ca="1">'Metrics &amp; Drivers'!K9</f>
        <v>-19845.340139242016</v>
      </c>
      <c r="N8" s="166">
        <f ca="1">'Metrics &amp; Drivers'!L9</f>
        <v>-21847.742781922207</v>
      </c>
      <c r="O8" s="166">
        <f ca="1">'Metrics &amp; Drivers'!M9</f>
        <v>-23259.427341413357</v>
      </c>
      <c r="Q8" s="54"/>
      <c r="R8" s="54"/>
      <c r="S8" s="54"/>
      <c r="T8" s="54"/>
      <c r="U8" s="54"/>
      <c r="V8" s="66"/>
      <c r="W8" s="66"/>
    </row>
    <row r="9" spans="1:23" ht="15.75" customHeight="1" x14ac:dyDescent="0.25">
      <c r="B9" s="81" t="s">
        <v>164</v>
      </c>
      <c r="F9" s="63">
        <f>'Cash Flow Statement'!F8*-1</f>
        <v>-202.51900000000001</v>
      </c>
      <c r="G9" s="63">
        <f>'Cash Flow Statement'!G8*-1</f>
        <v>-218.107</v>
      </c>
      <c r="H9" s="63">
        <f>'Cash Flow Statement'!H8*-1</f>
        <v>-225.256</v>
      </c>
      <c r="I9" s="63">
        <f>'Cash Flow Statement'!I8*-1</f>
        <v>-255.529</v>
      </c>
      <c r="J9" s="76">
        <f>'Cash Flow Statement'!J8*-1</f>
        <v>-290.64699999999999</v>
      </c>
      <c r="K9" s="166">
        <f>'Cash Flow Statement'!K8*-1</f>
        <v>-347.37538261872169</v>
      </c>
      <c r="L9" s="166">
        <f ca="1">'Cash Flow Statement'!L8*-1</f>
        <v>-403.47665152433729</v>
      </c>
      <c r="M9" s="166">
        <f ca="1">'Cash Flow Statement'!M8*-1</f>
        <v>-449.14173720665121</v>
      </c>
      <c r="N9" s="166">
        <f ca="1">'Cash Flow Statement'!N8*-1</f>
        <v>-497.49381440167065</v>
      </c>
      <c r="O9" s="166">
        <f ca="1">'Cash Flow Statement'!O8*-1</f>
        <v>-532.90858791216817</v>
      </c>
      <c r="Q9" s="54"/>
      <c r="R9" s="54"/>
      <c r="S9" s="54"/>
      <c r="T9" s="54"/>
      <c r="U9" s="54"/>
      <c r="V9" s="66"/>
      <c r="W9" s="66"/>
    </row>
    <row r="10" spans="1:23" s="73" customFormat="1" ht="15.75" customHeight="1" x14ac:dyDescent="0.25">
      <c r="B10" s="78" t="s">
        <v>7</v>
      </c>
      <c r="C10" s="78"/>
      <c r="D10" s="78"/>
      <c r="E10" s="78"/>
      <c r="F10" s="79">
        <f>SUM(F7:F9)</f>
        <v>1479.9640000000002</v>
      </c>
      <c r="G10" s="79">
        <f t="shared" ref="G10:O10" si="2">SUM(G7:G9)</f>
        <v>1600.2520000000004</v>
      </c>
      <c r="H10" s="79">
        <f t="shared" si="2"/>
        <v>1660.8469999999991</v>
      </c>
      <c r="I10" s="79">
        <f t="shared" si="2"/>
        <v>1953.2590000000005</v>
      </c>
      <c r="J10" s="80">
        <f t="shared" si="2"/>
        <v>2529.1549999999997</v>
      </c>
      <c r="K10" s="79">
        <f t="shared" ca="1" si="2"/>
        <v>2834.6910305042697</v>
      </c>
      <c r="L10" s="79">
        <f t="shared" ca="1" si="2"/>
        <v>3401.1998550604785</v>
      </c>
      <c r="M10" s="79">
        <f t="shared" ca="1" si="2"/>
        <v>3907.1524397001326</v>
      </c>
      <c r="N10" s="79">
        <f t="shared" ca="1" si="2"/>
        <v>4461.8097618628817</v>
      </c>
      <c r="O10" s="79">
        <f t="shared" ca="1" si="2"/>
        <v>4923.006467481091</v>
      </c>
      <c r="R10" s="66"/>
      <c r="S10" s="66"/>
      <c r="T10" s="66"/>
      <c r="U10" s="66"/>
      <c r="V10" s="66"/>
      <c r="W10" s="66"/>
    </row>
    <row r="11" spans="1:23" s="65" customFormat="1" ht="15.75" customHeight="1" x14ac:dyDescent="0.25">
      <c r="B11" s="65" t="s">
        <v>183</v>
      </c>
      <c r="F11" s="309">
        <f>F10/F$7</f>
        <v>0.13247766197735061</v>
      </c>
      <c r="G11" s="309">
        <f t="shared" ref="G11:O11" si="3">G10/G$7</f>
        <v>0.1321195331663991</v>
      </c>
      <c r="H11" s="309">
        <f t="shared" si="3"/>
        <v>0.14825454141654767</v>
      </c>
      <c r="I11" s="309">
        <f t="shared" si="3"/>
        <v>0.15047973403826273</v>
      </c>
      <c r="J11" s="310">
        <f t="shared" si="3"/>
        <v>0.14812986813852697</v>
      </c>
      <c r="K11" s="309">
        <f t="shared" ca="1" si="3"/>
        <v>0.15144167739502798</v>
      </c>
      <c r="L11" s="309">
        <f t="shared" ca="1" si="3"/>
        <v>0.15644167739502796</v>
      </c>
      <c r="M11" s="309">
        <f t="shared" ca="1" si="3"/>
        <v>0.16144167739502796</v>
      </c>
      <c r="N11" s="309">
        <f t="shared" ca="1" si="3"/>
        <v>0.16644167739502805</v>
      </c>
      <c r="O11" s="309">
        <f t="shared" ca="1" si="3"/>
        <v>0.17144167739502802</v>
      </c>
      <c r="R11" s="311"/>
      <c r="S11" s="311"/>
      <c r="T11" s="311"/>
      <c r="U11" s="311"/>
      <c r="V11" s="311"/>
      <c r="W11" s="311"/>
    </row>
    <row r="12" spans="1:23" s="65" customFormat="1" ht="15.75" customHeight="1" x14ac:dyDescent="0.25">
      <c r="F12" s="309"/>
      <c r="G12" s="309"/>
      <c r="H12" s="309"/>
      <c r="I12" s="309"/>
      <c r="J12" s="312"/>
      <c r="K12" s="309"/>
      <c r="L12" s="309"/>
      <c r="M12" s="309"/>
      <c r="N12" s="309"/>
      <c r="O12" s="309"/>
      <c r="R12" s="311"/>
      <c r="S12" s="311"/>
      <c r="T12" s="311"/>
      <c r="U12" s="311"/>
      <c r="V12" s="311"/>
      <c r="W12" s="311"/>
    </row>
    <row r="13" spans="1:23" ht="15.75" customHeight="1" x14ac:dyDescent="0.25">
      <c r="B13" s="81" t="s">
        <v>170</v>
      </c>
      <c r="F13" s="63">
        <v>-857.57399999999996</v>
      </c>
      <c r="G13" s="63">
        <v>-955.99099999999999</v>
      </c>
      <c r="H13" s="63">
        <v>-975.07399999999996</v>
      </c>
      <c r="I13" s="63">
        <v>-1155.9559999999999</v>
      </c>
      <c r="J13" s="76">
        <v>-1336.711</v>
      </c>
      <c r="K13" s="166">
        <f ca="1">'Metrics &amp; Drivers'!I15</f>
        <v>-1460.0069424917253</v>
      </c>
      <c r="L13" s="166">
        <f ca="1">'Metrics &amp; Drivers'!J15</f>
        <v>-1706.6691758109032</v>
      </c>
      <c r="M13" s="166">
        <f ca="1">'Metrics &amp; Drivers'!K15</f>
        <v>-1911.9291109757553</v>
      </c>
      <c r="N13" s="166">
        <f ca="1">'Metrics &amp; Drivers'!L15</f>
        <v>-2131.1601854758474</v>
      </c>
      <c r="O13" s="166">
        <f ca="1">'Metrics &amp; Drivers'!M15</f>
        <v>-2297.2273917445295</v>
      </c>
      <c r="R13" s="66"/>
      <c r="S13" s="66"/>
      <c r="T13" s="66"/>
      <c r="U13" s="66"/>
      <c r="V13" s="66"/>
      <c r="W13" s="66"/>
    </row>
    <row r="14" spans="1:23" ht="15.75" customHeight="1" x14ac:dyDescent="0.25">
      <c r="B14" s="81" t="s">
        <v>165</v>
      </c>
      <c r="F14" s="63">
        <v>-43.994</v>
      </c>
      <c r="G14" s="63">
        <v>-62.091000000000001</v>
      </c>
      <c r="H14" s="63">
        <v>-76.703999999999994</v>
      </c>
      <c r="I14" s="63">
        <v>-165.36600000000001</v>
      </c>
      <c r="J14" s="76">
        <v>-353.97300000000001</v>
      </c>
      <c r="K14" s="166">
        <f>PPE!K20</f>
        <v>-388.05889709968295</v>
      </c>
      <c r="L14" s="166">
        <f ca="1">PPE!L20</f>
        <v>-450.7305705305584</v>
      </c>
      <c r="M14" s="166">
        <f ca="1">PPE!M20</f>
        <v>-501.74380771579524</v>
      </c>
      <c r="N14" s="166">
        <f ca="1">PPE!N20</f>
        <v>-555.75872842585795</v>
      </c>
      <c r="O14" s="166">
        <f ca="1">PPE!O20</f>
        <v>-595.32116905108512</v>
      </c>
      <c r="Q14" s="54"/>
      <c r="R14" s="54"/>
      <c r="S14" s="54"/>
      <c r="T14" s="54"/>
      <c r="U14" s="54"/>
      <c r="V14" s="66"/>
      <c r="W14" s="66"/>
    </row>
    <row r="15" spans="1:23" s="73" customFormat="1" ht="15.75" customHeight="1" x14ac:dyDescent="0.25">
      <c r="B15" s="81" t="s">
        <v>169</v>
      </c>
      <c r="F15" s="63">
        <v>-60.622999999999998</v>
      </c>
      <c r="G15" s="63">
        <v>-27.295999999999999</v>
      </c>
      <c r="H15" s="63">
        <v>2.3020000000000009</v>
      </c>
      <c r="I15" s="63">
        <v>31.583999999999996</v>
      </c>
      <c r="J15" s="76">
        <v>33.587000000000003</v>
      </c>
      <c r="K15" s="77">
        <f>J15*K$7/J$7</f>
        <v>36.82126652848396</v>
      </c>
      <c r="L15" s="77">
        <f t="shared" ref="L15:O15" ca="1" si="4">K15*L$7/K$7</f>
        <v>42.767916401561322</v>
      </c>
      <c r="M15" s="77">
        <f t="shared" ca="1" si="4"/>
        <v>47.608346596351751</v>
      </c>
      <c r="N15" s="77">
        <f t="shared" ca="1" si="4"/>
        <v>52.7335938380591</v>
      </c>
      <c r="O15" s="77">
        <f t="shared" ca="1" si="4"/>
        <v>56.487506405626405</v>
      </c>
      <c r="Q15" s="54"/>
      <c r="R15" s="54"/>
      <c r="S15" s="54"/>
      <c r="T15" s="54"/>
      <c r="U15" s="54"/>
      <c r="V15" s="66"/>
      <c r="W15" s="66"/>
    </row>
    <row r="16" spans="1:23" s="73" customFormat="1" ht="15.75" customHeight="1" x14ac:dyDescent="0.25">
      <c r="B16" s="78" t="s">
        <v>8</v>
      </c>
      <c r="C16" s="78"/>
      <c r="D16" s="78"/>
      <c r="E16" s="78"/>
      <c r="F16" s="79">
        <f>SUM(F13:F15,F10)</f>
        <v>517.77300000000014</v>
      </c>
      <c r="G16" s="79">
        <f t="shared" ref="G16:O16" si="5">SUM(G13:G15,G10)</f>
        <v>554.87400000000048</v>
      </c>
      <c r="H16" s="79">
        <f t="shared" si="5"/>
        <v>611.37099999999896</v>
      </c>
      <c r="I16" s="79">
        <f t="shared" si="5"/>
        <v>663.52100000000064</v>
      </c>
      <c r="J16" s="80">
        <f t="shared" si="5"/>
        <v>872.05799999999977</v>
      </c>
      <c r="K16" s="79">
        <f t="shared" ca="1" si="5"/>
        <v>1023.4464574413453</v>
      </c>
      <c r="L16" s="79">
        <f t="shared" ca="1" si="5"/>
        <v>1286.5680251205781</v>
      </c>
      <c r="M16" s="79">
        <f t="shared" ca="1" si="5"/>
        <v>1541.0878676049338</v>
      </c>
      <c r="N16" s="79">
        <f t="shared" ca="1" si="5"/>
        <v>1827.6244417992357</v>
      </c>
      <c r="O16" s="79">
        <f t="shared" ca="1" si="5"/>
        <v>2086.9454130911026</v>
      </c>
      <c r="R16" s="66"/>
      <c r="S16" s="66"/>
      <c r="T16" s="66"/>
      <c r="U16" s="66"/>
      <c r="V16" s="66"/>
      <c r="W16" s="66"/>
    </row>
    <row r="17" spans="1:23" s="65" customFormat="1" ht="15.75" customHeight="1" x14ac:dyDescent="0.25">
      <c r="B17" s="65" t="s">
        <v>183</v>
      </c>
      <c r="F17" s="309">
        <f>F16/F$7</f>
        <v>4.6347989866644575E-2</v>
      </c>
      <c r="G17" s="309">
        <f t="shared" ref="G17" si="6">G16/G$7</f>
        <v>4.5811343367277518E-2</v>
      </c>
      <c r="H17" s="309">
        <f t="shared" ref="H17" si="7">H16/H$7</f>
        <v>5.4573676708556576E-2</v>
      </c>
      <c r="I17" s="309">
        <f t="shared" ref="I17" si="8">I16/I$7</f>
        <v>5.1117882272039811E-2</v>
      </c>
      <c r="J17" s="310">
        <f t="shared" ref="J17" si="9">J16/J$7</f>
        <v>5.1075492229281136E-2</v>
      </c>
      <c r="K17" s="309">
        <f t="shared" ref="K17" ca="1" si="10">K16/K$7</f>
        <v>5.4677016497048175E-2</v>
      </c>
      <c r="L17" s="309">
        <f t="shared" ref="L17" ca="1" si="11">L16/L$7</f>
        <v>5.9177016497048152E-2</v>
      </c>
      <c r="M17" s="309">
        <f t="shared" ref="M17" ca="1" si="12">M16/M$7</f>
        <v>6.3677016497048156E-2</v>
      </c>
      <c r="N17" s="309">
        <f t="shared" ref="N17" ca="1" si="13">N16/N$7</f>
        <v>6.8177016497048243E-2</v>
      </c>
      <c r="O17" s="309">
        <f t="shared" ref="O17" ca="1" si="14">O16/O$7</f>
        <v>7.2677016497048219E-2</v>
      </c>
      <c r="R17" s="311"/>
      <c r="S17" s="311"/>
      <c r="T17" s="311"/>
      <c r="U17" s="311"/>
      <c r="V17" s="311"/>
      <c r="W17" s="311"/>
    </row>
    <row r="18" spans="1:23" s="65" customFormat="1" ht="15.75" customHeight="1" x14ac:dyDescent="0.25">
      <c r="F18" s="309"/>
      <c r="G18" s="309"/>
      <c r="H18" s="309"/>
      <c r="I18" s="309"/>
      <c r="J18" s="312"/>
      <c r="K18" s="309"/>
      <c r="L18" s="309"/>
      <c r="M18" s="309"/>
      <c r="N18" s="309"/>
      <c r="O18" s="309"/>
      <c r="R18" s="311"/>
      <c r="S18" s="311"/>
      <c r="T18" s="311"/>
      <c r="U18" s="311"/>
      <c r="V18" s="311"/>
      <c r="W18" s="311"/>
    </row>
    <row r="19" spans="1:23" ht="15.75" customHeight="1" x14ac:dyDescent="0.25">
      <c r="B19" s="81" t="s">
        <v>9</v>
      </c>
      <c r="F19" s="63">
        <v>-36.945</v>
      </c>
      <c r="G19" s="63">
        <v>-66.89</v>
      </c>
      <c r="H19" s="63">
        <v>-45.012999999999998</v>
      </c>
      <c r="I19" s="63">
        <v>-68.899000000000001</v>
      </c>
      <c r="J19" s="76">
        <v>-124.363</v>
      </c>
      <c r="K19" s="166">
        <f ca="1">-'Debt Schedule'!K54</f>
        <v>-78.714197318321737</v>
      </c>
      <c r="L19" s="166">
        <f ca="1">-'Debt Schedule'!L54</f>
        <v>-118.1689436959562</v>
      </c>
      <c r="M19" s="166">
        <f ca="1">-'Debt Schedule'!M54</f>
        <v>-137.36913335205298</v>
      </c>
      <c r="N19" s="166">
        <f ca="1">-'Debt Schedule'!N54</f>
        <v>-158.59200424969404</v>
      </c>
      <c r="O19" s="166">
        <f ca="1">-'Debt Schedule'!O54</f>
        <v>-176.72763467730653</v>
      </c>
      <c r="R19" s="66"/>
      <c r="S19" s="66"/>
      <c r="T19" s="66"/>
      <c r="U19" s="66"/>
      <c r="V19" s="66"/>
      <c r="W19" s="66"/>
    </row>
    <row r="20" spans="1:23" s="73" customFormat="1" ht="15.75" customHeight="1" x14ac:dyDescent="0.25">
      <c r="B20" s="81" t="s">
        <v>171</v>
      </c>
      <c r="F20" s="63">
        <v>1.5549999999999999</v>
      </c>
      <c r="G20" s="63">
        <v>0.92700000000000005</v>
      </c>
      <c r="H20" s="63">
        <v>2.4489999999999998</v>
      </c>
      <c r="I20" s="63">
        <v>3.194</v>
      </c>
      <c r="J20" s="76">
        <v>2.6059999999999999</v>
      </c>
      <c r="K20" s="166">
        <f ca="1">'Debt Schedule'!K58</f>
        <v>3.6776074248473982</v>
      </c>
      <c r="L20" s="166">
        <f ca="1">'Debt Schedule'!L58</f>
        <v>12.710746698386927</v>
      </c>
      <c r="M20" s="166">
        <f ca="1">'Debt Schedule'!M58</f>
        <v>22.829951862317959</v>
      </c>
      <c r="N20" s="166">
        <f ca="1">'Debt Schedule'!N58</f>
        <v>34.680590859248547</v>
      </c>
      <c r="O20" s="166">
        <f ca="1">'Debt Schedule'!O58</f>
        <v>47.514324034579893</v>
      </c>
      <c r="R20" s="66"/>
      <c r="S20" s="66"/>
      <c r="T20" s="66"/>
      <c r="U20" s="66"/>
      <c r="V20" s="66"/>
      <c r="W20" s="66"/>
    </row>
    <row r="21" spans="1:23" ht="15.75" customHeight="1" x14ac:dyDescent="0.25">
      <c r="B21" s="81" t="s">
        <v>172</v>
      </c>
      <c r="F21" s="63">
        <v>-47.213000000000001</v>
      </c>
      <c r="G21" s="63">
        <v>83.376000000000005</v>
      </c>
      <c r="H21" s="63">
        <v>2.5390000000000001</v>
      </c>
      <c r="I21" s="63">
        <v>25.085000000000001</v>
      </c>
      <c r="J21" s="76">
        <v>-46.414999999999999</v>
      </c>
      <c r="K21" s="77">
        <f>AVERAGE($F$21:$J$21)</f>
        <v>3.4744000000000015</v>
      </c>
      <c r="L21" s="77">
        <f t="shared" ref="L21:O21" si="15">AVERAGE($F$21:$J$21)</f>
        <v>3.4744000000000015</v>
      </c>
      <c r="M21" s="77">
        <f t="shared" si="15"/>
        <v>3.4744000000000015</v>
      </c>
      <c r="N21" s="77">
        <f t="shared" si="15"/>
        <v>3.4744000000000015</v>
      </c>
      <c r="O21" s="77">
        <f t="shared" si="15"/>
        <v>3.4744000000000015</v>
      </c>
      <c r="R21" s="66"/>
      <c r="S21" s="66"/>
      <c r="T21" s="66"/>
      <c r="U21" s="66"/>
      <c r="V21" s="66"/>
      <c r="W21" s="66"/>
    </row>
    <row r="22" spans="1:23" s="73" customFormat="1" ht="15.75" customHeight="1" x14ac:dyDescent="0.25">
      <c r="B22" s="78" t="s">
        <v>167</v>
      </c>
      <c r="C22" s="78"/>
      <c r="D22" s="78"/>
      <c r="E22" s="78"/>
      <c r="F22" s="79">
        <f>SUM(F19:F21,F16)</f>
        <v>435.17000000000013</v>
      </c>
      <c r="G22" s="79">
        <f t="shared" ref="G22" si="16">SUM(G19:G21,G16)</f>
        <v>572.28700000000049</v>
      </c>
      <c r="H22" s="79">
        <f t="shared" ref="H22" si="17">SUM(H19:H21,H16)</f>
        <v>571.34599999999898</v>
      </c>
      <c r="I22" s="79">
        <f t="shared" ref="I22" si="18">SUM(I19:I21,I16)</f>
        <v>622.90100000000064</v>
      </c>
      <c r="J22" s="80">
        <f t="shared" ref="J22" si="19">SUM(J19:J21,J16)</f>
        <v>703.88599999999974</v>
      </c>
      <c r="K22" s="79">
        <f t="shared" ref="K22" ca="1" si="20">SUM(K19:K21,K16)</f>
        <v>951.88426754787088</v>
      </c>
      <c r="L22" s="79">
        <f t="shared" ref="L22" ca="1" si="21">SUM(L19:L21,L16)</f>
        <v>1184.5842281230089</v>
      </c>
      <c r="M22" s="79">
        <f t="shared" ref="M22" ca="1" si="22">SUM(M19:M21,M16)</f>
        <v>1430.0230861151988</v>
      </c>
      <c r="N22" s="79">
        <f t="shared" ref="N22" ca="1" si="23">SUM(N19:N21,N16)</f>
        <v>1707.1874284087903</v>
      </c>
      <c r="O22" s="79">
        <f t="shared" ref="O22" ca="1" si="24">SUM(O19:O21,O16)</f>
        <v>1961.2065024483759</v>
      </c>
      <c r="R22" s="66"/>
      <c r="S22" s="66"/>
      <c r="T22" s="66"/>
      <c r="U22" s="66"/>
      <c r="V22" s="66"/>
      <c r="W22" s="66"/>
    </row>
    <row r="23" spans="1:23" s="73" customFormat="1" ht="15.75" customHeight="1" x14ac:dyDescent="0.25">
      <c r="F23" s="74"/>
      <c r="G23" s="74"/>
      <c r="H23" s="74"/>
      <c r="I23" s="74"/>
      <c r="J23" s="75"/>
      <c r="K23" s="74"/>
      <c r="L23" s="74"/>
      <c r="M23" s="74"/>
      <c r="N23" s="74"/>
      <c r="O23" s="74"/>
      <c r="R23" s="66"/>
      <c r="S23" s="66"/>
      <c r="T23" s="66"/>
      <c r="U23" s="66"/>
      <c r="V23" s="66"/>
      <c r="W23" s="66"/>
    </row>
    <row r="24" spans="1:23" s="73" customFormat="1" ht="15.75" customHeight="1" x14ac:dyDescent="0.25">
      <c r="B24" s="81" t="s">
        <v>166</v>
      </c>
      <c r="F24" s="63">
        <v>-161.65899999999999</v>
      </c>
      <c r="G24" s="63">
        <v>-165.47200000000001</v>
      </c>
      <c r="H24" s="63">
        <v>-119.387</v>
      </c>
      <c r="I24" s="63">
        <v>-130.91800000000001</v>
      </c>
      <c r="J24" s="76">
        <v>-192.24299999999999</v>
      </c>
      <c r="K24" s="77">
        <f ca="1">-K25*K22</f>
        <v>-257.55610633996008</v>
      </c>
      <c r="L24" s="77">
        <f t="shared" ref="L24:O24" ca="1" si="25">-L25*L22</f>
        <v>-320.5189032202864</v>
      </c>
      <c r="M24" s="77">
        <f t="shared" ca="1" si="25"/>
        <v>-386.92852754556264</v>
      </c>
      <c r="N24" s="77">
        <f t="shared" ca="1" si="25"/>
        <v>-461.92227547387716</v>
      </c>
      <c r="O24" s="77">
        <f t="shared" ca="1" si="25"/>
        <v>-530.65349194229884</v>
      </c>
      <c r="R24" s="66"/>
      <c r="S24" s="66"/>
      <c r="T24" s="66"/>
      <c r="U24" s="66"/>
      <c r="V24" s="66"/>
      <c r="W24" s="66"/>
    </row>
    <row r="25" spans="1:23" s="65" customFormat="1" ht="15.75" customHeight="1" x14ac:dyDescent="0.25">
      <c r="B25" s="185" t="s">
        <v>211</v>
      </c>
      <c r="F25" s="309">
        <f>-F24/F22</f>
        <v>0.37148470712595066</v>
      </c>
      <c r="G25" s="309">
        <f t="shared" ref="G25:J25" si="26">-G24/G22</f>
        <v>0.28914163697585277</v>
      </c>
      <c r="H25" s="309">
        <f t="shared" si="26"/>
        <v>0.20895744435070904</v>
      </c>
      <c r="I25" s="309">
        <f t="shared" si="26"/>
        <v>0.21017465054639481</v>
      </c>
      <c r="J25" s="318">
        <f t="shared" si="26"/>
        <v>0.27311666946067981</v>
      </c>
      <c r="K25" s="309">
        <f>AVERAGE($F$25:$J$25)</f>
        <v>0.27057502169191744</v>
      </c>
      <c r="L25" s="309">
        <f t="shared" ref="L25:O25" si="27">AVERAGE($F$25:$J$25)</f>
        <v>0.27057502169191744</v>
      </c>
      <c r="M25" s="309">
        <f t="shared" si="27"/>
        <v>0.27057502169191744</v>
      </c>
      <c r="N25" s="309">
        <f t="shared" si="27"/>
        <v>0.27057502169191744</v>
      </c>
      <c r="O25" s="309">
        <f t="shared" si="27"/>
        <v>0.27057502169191744</v>
      </c>
      <c r="R25" s="311"/>
      <c r="S25" s="311"/>
      <c r="T25" s="311"/>
      <c r="U25" s="311"/>
      <c r="V25" s="311"/>
      <c r="W25" s="311"/>
    </row>
    <row r="26" spans="1:23" s="73" customFormat="1" ht="15.75" customHeight="1" x14ac:dyDescent="0.25">
      <c r="B26" s="78" t="s">
        <v>10</v>
      </c>
      <c r="C26" s="78"/>
      <c r="D26" s="78"/>
      <c r="E26" s="78"/>
      <c r="F26" s="79">
        <f>SUM(F22:F24)</f>
        <v>273.51100000000014</v>
      </c>
      <c r="G26" s="79">
        <f t="shared" ref="G26:O26" si="28">SUM(G22:G24)</f>
        <v>406.81500000000051</v>
      </c>
      <c r="H26" s="79">
        <f t="shared" si="28"/>
        <v>451.95899999999898</v>
      </c>
      <c r="I26" s="79">
        <f t="shared" si="28"/>
        <v>491.98300000000063</v>
      </c>
      <c r="J26" s="80">
        <f t="shared" si="28"/>
        <v>511.64299999999974</v>
      </c>
      <c r="K26" s="79">
        <f t="shared" ca="1" si="28"/>
        <v>694.32816120791085</v>
      </c>
      <c r="L26" s="79">
        <f t="shared" ca="1" si="28"/>
        <v>864.06532490272252</v>
      </c>
      <c r="M26" s="79">
        <f t="shared" ca="1" si="28"/>
        <v>1043.0945585696361</v>
      </c>
      <c r="N26" s="79">
        <f t="shared" ca="1" si="28"/>
        <v>1245.2651529349132</v>
      </c>
      <c r="O26" s="79">
        <f t="shared" ca="1" si="28"/>
        <v>1430.553010506077</v>
      </c>
      <c r="R26" s="66"/>
      <c r="S26" s="66"/>
      <c r="T26" s="66"/>
      <c r="U26" s="66"/>
      <c r="V26" s="66"/>
      <c r="W26" s="66"/>
    </row>
    <row r="27" spans="1:23" s="65" customFormat="1" ht="15.75" customHeight="1" x14ac:dyDescent="0.25">
      <c r="B27" s="65" t="s">
        <v>183</v>
      </c>
      <c r="F27" s="309">
        <f t="shared" ref="F27:O27" si="29">F26/F$7</f>
        <v>2.4483094051670956E-2</v>
      </c>
      <c r="G27" s="309">
        <f t="shared" si="29"/>
        <v>3.3587339922142703E-2</v>
      </c>
      <c r="H27" s="309">
        <f t="shared" si="29"/>
        <v>4.0343857251198552E-2</v>
      </c>
      <c r="I27" s="309">
        <f t="shared" si="29"/>
        <v>3.7902536730329513E-2</v>
      </c>
      <c r="J27" s="310">
        <f t="shared" si="29"/>
        <v>2.9966376170697456E-2</v>
      </c>
      <c r="K27" s="309">
        <f t="shared" ca="1" si="29"/>
        <v>3.7094067841752051E-2</v>
      </c>
      <c r="L27" s="309">
        <f t="shared" ca="1" si="29"/>
        <v>3.9743571259283766E-2</v>
      </c>
      <c r="M27" s="309">
        <f t="shared" ca="1" si="29"/>
        <v>4.3100170217579892E-2</v>
      </c>
      <c r="N27" s="309">
        <f t="shared" ca="1" si="29"/>
        <v>4.6452904072164389E-2</v>
      </c>
      <c r="O27" s="309">
        <f t="shared" ca="1" si="29"/>
        <v>4.9818420784882106E-2</v>
      </c>
      <c r="R27" s="311"/>
      <c r="S27" s="311"/>
      <c r="T27" s="311"/>
      <c r="U27" s="311"/>
      <c r="V27" s="311"/>
      <c r="W27" s="311"/>
    </row>
    <row r="28" spans="1:23" s="65" customFormat="1" ht="15.75" customHeight="1" x14ac:dyDescent="0.25">
      <c r="F28" s="309"/>
      <c r="G28" s="309"/>
      <c r="H28" s="309"/>
      <c r="I28" s="309"/>
      <c r="J28" s="312"/>
      <c r="K28" s="309"/>
      <c r="L28" s="309"/>
      <c r="M28" s="309"/>
      <c r="N28" s="309"/>
      <c r="O28" s="309"/>
      <c r="R28" s="311"/>
      <c r="S28" s="311"/>
      <c r="T28" s="311"/>
      <c r="U28" s="311"/>
      <c r="V28" s="311"/>
      <c r="W28" s="311"/>
    </row>
    <row r="29" spans="1:23" ht="15.75" customHeight="1" x14ac:dyDescent="0.25">
      <c r="B29" s="81" t="s">
        <v>11</v>
      </c>
      <c r="F29" s="63">
        <v>-2.661</v>
      </c>
      <c r="G29" s="63">
        <v>-4.7709999999999999</v>
      </c>
      <c r="H29" s="63">
        <v>-6.3630000000000004</v>
      </c>
      <c r="I29" s="63">
        <v>-6.0270000000000001</v>
      </c>
      <c r="J29" s="76">
        <v>-20.454000000000001</v>
      </c>
      <c r="K29" s="77">
        <f>AVERAGE($F$29:$J$29)</f>
        <v>-8.055200000000001</v>
      </c>
      <c r="L29" s="77">
        <f t="shared" ref="L29:O29" si="30">AVERAGE($F$29:$J$29)</f>
        <v>-8.055200000000001</v>
      </c>
      <c r="M29" s="77">
        <f t="shared" si="30"/>
        <v>-8.055200000000001</v>
      </c>
      <c r="N29" s="77">
        <f t="shared" si="30"/>
        <v>-8.055200000000001</v>
      </c>
      <c r="O29" s="77">
        <f t="shared" si="30"/>
        <v>-8.055200000000001</v>
      </c>
    </row>
    <row r="30" spans="1:23" s="73" customFormat="1" ht="15.75" customHeight="1" x14ac:dyDescent="0.25">
      <c r="B30" s="78" t="s">
        <v>305</v>
      </c>
      <c r="C30" s="78"/>
      <c r="D30" s="78"/>
      <c r="E30" s="78"/>
      <c r="F30" s="79">
        <f>SUM(F29,F26,)</f>
        <v>270.85000000000014</v>
      </c>
      <c r="G30" s="79">
        <f t="shared" ref="G30:O30" si="31">SUM(G29,G26,)</f>
        <v>402.04400000000049</v>
      </c>
      <c r="H30" s="79">
        <f t="shared" si="31"/>
        <v>445.59599999999898</v>
      </c>
      <c r="I30" s="79">
        <f t="shared" si="31"/>
        <v>485.95600000000064</v>
      </c>
      <c r="J30" s="80">
        <f t="shared" si="31"/>
        <v>491.18899999999974</v>
      </c>
      <c r="K30" s="79">
        <f t="shared" ca="1" si="31"/>
        <v>686.27296120791084</v>
      </c>
      <c r="L30" s="79">
        <f t="shared" ca="1" si="31"/>
        <v>856.01012490272251</v>
      </c>
      <c r="M30" s="79">
        <f t="shared" ca="1" si="31"/>
        <v>1035.0393585696361</v>
      </c>
      <c r="N30" s="79">
        <f t="shared" ca="1" si="31"/>
        <v>1237.2099529349132</v>
      </c>
      <c r="O30" s="79">
        <f t="shared" ca="1" si="31"/>
        <v>1422.497810506077</v>
      </c>
    </row>
    <row r="31" spans="1:23" ht="15.75" customHeight="1" x14ac:dyDescent="0.25">
      <c r="F31" s="54"/>
      <c r="G31" s="54"/>
      <c r="H31" s="54"/>
      <c r="I31" s="54"/>
      <c r="J31" s="55"/>
    </row>
    <row r="32" spans="1:23" ht="15.75" customHeight="1" thickBot="1" x14ac:dyDescent="0.3">
      <c r="A32" s="64" t="s">
        <v>213</v>
      </c>
      <c r="B32" s="70" t="s">
        <v>317</v>
      </c>
      <c r="C32" s="334"/>
      <c r="D32" s="334"/>
      <c r="E32" s="334"/>
      <c r="F32" s="335"/>
      <c r="G32" s="335"/>
      <c r="H32" s="335"/>
      <c r="I32" s="335"/>
      <c r="J32" s="336"/>
      <c r="K32" s="334"/>
      <c r="L32" s="334"/>
      <c r="M32" s="334"/>
      <c r="N32" s="334"/>
      <c r="O32" s="334"/>
    </row>
    <row r="33" spans="1:15" ht="15.75" customHeight="1" x14ac:dyDescent="0.25">
      <c r="B33" s="337"/>
      <c r="C33" s="338"/>
      <c r="D33" s="338"/>
      <c r="E33" s="338"/>
      <c r="F33" s="339"/>
      <c r="G33" s="339"/>
      <c r="H33" s="339"/>
      <c r="I33" s="339"/>
      <c r="J33" s="55"/>
      <c r="K33" s="338"/>
      <c r="L33" s="338"/>
      <c r="M33" s="338"/>
      <c r="N33" s="338"/>
      <c r="O33" s="338"/>
    </row>
    <row r="34" spans="1:15" ht="15.75" customHeight="1" x14ac:dyDescent="0.25">
      <c r="B34" s="64" t="s">
        <v>305</v>
      </c>
      <c r="F34" s="298">
        <f>F30</f>
        <v>270.85000000000014</v>
      </c>
      <c r="G34" s="298">
        <f t="shared" ref="G34:O34" si="32">G30</f>
        <v>402.04400000000049</v>
      </c>
      <c r="H34" s="298">
        <f t="shared" si="32"/>
        <v>445.59599999999898</v>
      </c>
      <c r="I34" s="298">
        <f t="shared" si="32"/>
        <v>485.95600000000064</v>
      </c>
      <c r="J34" s="299">
        <f t="shared" si="32"/>
        <v>491.18899999999974</v>
      </c>
      <c r="K34" s="298">
        <f t="shared" ca="1" si="32"/>
        <v>686.27296120791084</v>
      </c>
      <c r="L34" s="298">
        <f t="shared" ca="1" si="32"/>
        <v>856.01012490272251</v>
      </c>
      <c r="M34" s="298">
        <f t="shared" ca="1" si="32"/>
        <v>1035.0393585696361</v>
      </c>
      <c r="N34" s="298">
        <f t="shared" ca="1" si="32"/>
        <v>1237.2099529349132</v>
      </c>
      <c r="O34" s="298">
        <f t="shared" ca="1" si="32"/>
        <v>1422.497810506077</v>
      </c>
    </row>
    <row r="35" spans="1:15" ht="15.75" customHeight="1" x14ac:dyDescent="0.25">
      <c r="B35" s="64" t="s">
        <v>318</v>
      </c>
      <c r="F35" s="51">
        <v>154.19999999999999</v>
      </c>
      <c r="G35" s="51">
        <v>147.5</v>
      </c>
      <c r="H35" s="51">
        <v>145.19999999999999</v>
      </c>
      <c r="I35" s="51">
        <v>145.4</v>
      </c>
      <c r="J35" s="52">
        <v>148</v>
      </c>
      <c r="K35" s="298">
        <f>J35</f>
        <v>148</v>
      </c>
      <c r="L35" s="298">
        <f t="shared" ref="L35:O35" si="33">K35</f>
        <v>148</v>
      </c>
      <c r="M35" s="298">
        <f t="shared" si="33"/>
        <v>148</v>
      </c>
      <c r="N35" s="298">
        <f t="shared" si="33"/>
        <v>148</v>
      </c>
      <c r="O35" s="298">
        <f t="shared" si="33"/>
        <v>148</v>
      </c>
    </row>
    <row r="36" spans="1:15" s="73" customFormat="1" ht="15.75" customHeight="1" x14ac:dyDescent="0.25">
      <c r="B36" s="78" t="s">
        <v>319</v>
      </c>
      <c r="C36" s="78"/>
      <c r="D36" s="78"/>
      <c r="E36" s="78"/>
      <c r="F36" s="340">
        <f>F34/F35</f>
        <v>1.7564850843060971</v>
      </c>
      <c r="G36" s="340">
        <f t="shared" ref="G36:O36" si="34">G34/G35</f>
        <v>2.7257220338983084</v>
      </c>
      <c r="H36" s="340">
        <f t="shared" si="34"/>
        <v>3.0688429752066049</v>
      </c>
      <c r="I36" s="340">
        <f t="shared" si="34"/>
        <v>3.3422008253094955</v>
      </c>
      <c r="J36" s="341">
        <f t="shared" si="34"/>
        <v>3.318844594594593</v>
      </c>
      <c r="K36" s="340">
        <f t="shared" ca="1" si="34"/>
        <v>4.6369794676210194</v>
      </c>
      <c r="L36" s="340">
        <f t="shared" ca="1" si="34"/>
        <v>5.7838521952886657</v>
      </c>
      <c r="M36" s="340">
        <f t="shared" ca="1" si="34"/>
        <v>6.9935091795245681</v>
      </c>
      <c r="N36" s="340">
        <f t="shared" ca="1" si="34"/>
        <v>8.3595267090196845</v>
      </c>
      <c r="O36" s="340">
        <f t="shared" ca="1" si="34"/>
        <v>9.6114716926086281</v>
      </c>
    </row>
    <row r="37" spans="1:15" s="73" customFormat="1" ht="15.75" customHeight="1" x14ac:dyDescent="0.25">
      <c r="B37" s="345" t="s">
        <v>284</v>
      </c>
      <c r="C37" s="337"/>
      <c r="D37" s="337"/>
      <c r="E37" s="337"/>
      <c r="F37" s="344"/>
      <c r="G37" s="346">
        <f>G36/F36-1</f>
        <v>0.55180482786457041</v>
      </c>
      <c r="H37" s="346">
        <f t="shared" ref="H37:O37" si="35">H36/G36-1</f>
        <v>0.1258825870874174</v>
      </c>
      <c r="I37" s="346">
        <f t="shared" si="35"/>
        <v>8.9075215744620184E-2</v>
      </c>
      <c r="J37" s="347">
        <f t="shared" si="35"/>
        <v>-6.9882786629793525E-3</v>
      </c>
      <c r="K37" s="346">
        <f t="shared" ca="1" si="35"/>
        <v>0.397166795689462</v>
      </c>
      <c r="L37" s="346">
        <f t="shared" ca="1" si="35"/>
        <v>0.24733185378024625</v>
      </c>
      <c r="M37" s="346">
        <f t="shared" ca="1" si="35"/>
        <v>0.20914382722664482</v>
      </c>
      <c r="N37" s="346">
        <f t="shared" ca="1" si="35"/>
        <v>0.19532647980137208</v>
      </c>
      <c r="O37" s="346">
        <f t="shared" ca="1" si="35"/>
        <v>0.14976266326634646</v>
      </c>
    </row>
    <row r="38" spans="1:15" s="73" customFormat="1" ht="15.75" customHeight="1" x14ac:dyDescent="0.25">
      <c r="B38" s="345"/>
      <c r="C38" s="337"/>
      <c r="D38" s="337"/>
      <c r="E38" s="337"/>
      <c r="F38" s="344"/>
      <c r="G38" s="346"/>
      <c r="H38" s="346"/>
      <c r="I38" s="346"/>
      <c r="J38" s="347"/>
      <c r="K38" s="346"/>
      <c r="L38" s="346"/>
      <c r="M38" s="346"/>
      <c r="N38" s="346"/>
      <c r="O38" s="346"/>
    </row>
    <row r="39" spans="1:15" s="73" customFormat="1" ht="15.75" customHeight="1" x14ac:dyDescent="0.25">
      <c r="B39" s="351" t="s">
        <v>323</v>
      </c>
      <c r="C39" s="352"/>
      <c r="D39" s="352"/>
      <c r="E39" s="352"/>
      <c r="F39" s="353"/>
      <c r="G39" s="354"/>
      <c r="H39" s="354"/>
      <c r="I39" s="354"/>
      <c r="J39" s="355">
        <f>Cover!$G$15/'Income Statement'!J36</f>
        <v>60.032940477087266</v>
      </c>
      <c r="K39" s="356">
        <f ca="1">Cover!$G$15/'Income Statement'!K36</f>
        <v>42.967626100406079</v>
      </c>
      <c r="L39" s="356">
        <f ca="1">Cover!$G$15/'Income Statement'!L36</f>
        <v>34.447629931189169</v>
      </c>
      <c r="M39" s="356">
        <f ca="1">Cover!$G$15/'Income Statement'!M36</f>
        <v>28.48927410910251</v>
      </c>
      <c r="N39" s="356">
        <f ca="1">Cover!$G$15/'Income Statement'!N36</f>
        <v>23.833885210872751</v>
      </c>
      <c r="O39" s="355">
        <f ca="1">Cover!$G$15/'Income Statement'!O36</f>
        <v>20.729395702556008</v>
      </c>
    </row>
    <row r="40" spans="1:15" ht="15.75" customHeight="1" x14ac:dyDescent="0.25">
      <c r="F40" s="54"/>
      <c r="G40" s="54"/>
      <c r="H40" s="54"/>
      <c r="I40" s="54"/>
      <c r="J40" s="55"/>
    </row>
    <row r="41" spans="1:15" s="73" customFormat="1" ht="15.75" customHeight="1" thickBot="1" x14ac:dyDescent="0.3">
      <c r="A41" s="64" t="s">
        <v>213</v>
      </c>
      <c r="B41" s="70" t="s">
        <v>315</v>
      </c>
      <c r="C41" s="70"/>
      <c r="D41" s="70"/>
      <c r="E41" s="70"/>
      <c r="F41" s="322"/>
      <c r="G41" s="322"/>
      <c r="H41" s="322"/>
      <c r="I41" s="322"/>
      <c r="J41" s="323"/>
      <c r="K41" s="70"/>
      <c r="L41" s="70"/>
      <c r="M41" s="70"/>
      <c r="N41" s="70"/>
      <c r="O41" s="70"/>
    </row>
    <row r="42" spans="1:15" s="73" customFormat="1" ht="15.75" customHeight="1" x14ac:dyDescent="0.25">
      <c r="F42" s="56"/>
      <c r="G42" s="56"/>
      <c r="H42" s="56"/>
      <c r="I42" s="56"/>
      <c r="J42" s="321"/>
    </row>
    <row r="43" spans="1:15" s="73" customFormat="1" ht="15.75" customHeight="1" x14ac:dyDescent="0.25">
      <c r="B43" s="73" t="s">
        <v>305</v>
      </c>
      <c r="F43" s="191">
        <f t="shared" ref="F43:O43" si="36">F30</f>
        <v>270.85000000000014</v>
      </c>
      <c r="G43" s="191">
        <f t="shared" si="36"/>
        <v>402.04400000000049</v>
      </c>
      <c r="H43" s="191">
        <f t="shared" si="36"/>
        <v>445.59599999999898</v>
      </c>
      <c r="I43" s="191">
        <f t="shared" si="36"/>
        <v>485.95600000000064</v>
      </c>
      <c r="J43" s="192">
        <f t="shared" si="36"/>
        <v>491.18899999999974</v>
      </c>
      <c r="K43" s="74">
        <f t="shared" ca="1" si="36"/>
        <v>686.27296120791084</v>
      </c>
      <c r="L43" s="74">
        <f t="shared" ca="1" si="36"/>
        <v>856.01012490272251</v>
      </c>
      <c r="M43" s="74">
        <f t="shared" ca="1" si="36"/>
        <v>1035.0393585696361</v>
      </c>
      <c r="N43" s="74">
        <f t="shared" ca="1" si="36"/>
        <v>1237.2099529349132</v>
      </c>
      <c r="O43" s="74">
        <f t="shared" ca="1" si="36"/>
        <v>1422.497810506077</v>
      </c>
    </row>
    <row r="44" spans="1:15" ht="15.75" customHeight="1" x14ac:dyDescent="0.25">
      <c r="B44" s="81" t="s">
        <v>9</v>
      </c>
      <c r="F44" s="298">
        <f t="shared" ref="F44:O44" si="37">F19*-1</f>
        <v>36.945</v>
      </c>
      <c r="G44" s="298">
        <f t="shared" si="37"/>
        <v>66.89</v>
      </c>
      <c r="H44" s="298">
        <f t="shared" si="37"/>
        <v>45.012999999999998</v>
      </c>
      <c r="I44" s="298">
        <f t="shared" si="37"/>
        <v>68.899000000000001</v>
      </c>
      <c r="J44" s="298">
        <f t="shared" si="37"/>
        <v>124.363</v>
      </c>
      <c r="K44" s="319">
        <f t="shared" ca="1" si="37"/>
        <v>78.714197318321737</v>
      </c>
      <c r="L44" s="298">
        <f t="shared" ca="1" si="37"/>
        <v>118.1689436959562</v>
      </c>
      <c r="M44" s="298">
        <f t="shared" ca="1" si="37"/>
        <v>137.36913335205298</v>
      </c>
      <c r="N44" s="298">
        <f t="shared" ca="1" si="37"/>
        <v>158.59200424969404</v>
      </c>
      <c r="O44" s="298">
        <f t="shared" ca="1" si="37"/>
        <v>176.72763467730653</v>
      </c>
    </row>
    <row r="45" spans="1:15" ht="15.75" customHeight="1" x14ac:dyDescent="0.25">
      <c r="B45" s="81" t="s">
        <v>171</v>
      </c>
      <c r="F45" s="77">
        <f t="shared" ref="F45:O45" si="38">-F20</f>
        <v>-1.5549999999999999</v>
      </c>
      <c r="G45" s="77">
        <f t="shared" si="38"/>
        <v>-0.92700000000000005</v>
      </c>
      <c r="H45" s="77">
        <f t="shared" si="38"/>
        <v>-2.4489999999999998</v>
      </c>
      <c r="I45" s="77">
        <f t="shared" si="38"/>
        <v>-3.194</v>
      </c>
      <c r="J45" s="77">
        <f t="shared" si="38"/>
        <v>-2.6059999999999999</v>
      </c>
      <c r="K45" s="257">
        <f t="shared" ca="1" si="38"/>
        <v>-3.6776074248473982</v>
      </c>
      <c r="L45" s="77">
        <f t="shared" ca="1" si="38"/>
        <v>-12.710746698386927</v>
      </c>
      <c r="M45" s="77">
        <f t="shared" ca="1" si="38"/>
        <v>-22.829951862317959</v>
      </c>
      <c r="N45" s="77">
        <f t="shared" ca="1" si="38"/>
        <v>-34.680590859248547</v>
      </c>
      <c r="O45" s="77">
        <f t="shared" ca="1" si="38"/>
        <v>-47.514324034579893</v>
      </c>
    </row>
    <row r="46" spans="1:15" ht="15.75" customHeight="1" x14ac:dyDescent="0.25">
      <c r="B46" s="81" t="s">
        <v>166</v>
      </c>
      <c r="F46" s="77">
        <f t="shared" ref="F46:O46" si="39">F24*-1</f>
        <v>161.65899999999999</v>
      </c>
      <c r="G46" s="77">
        <f t="shared" si="39"/>
        <v>165.47200000000001</v>
      </c>
      <c r="H46" s="77">
        <f t="shared" si="39"/>
        <v>119.387</v>
      </c>
      <c r="I46" s="77">
        <f t="shared" si="39"/>
        <v>130.91800000000001</v>
      </c>
      <c r="J46" s="77">
        <f t="shared" si="39"/>
        <v>192.24299999999999</v>
      </c>
      <c r="K46" s="257">
        <f t="shared" ca="1" si="39"/>
        <v>257.55610633996008</v>
      </c>
      <c r="L46" s="77">
        <f t="shared" ca="1" si="39"/>
        <v>320.5189032202864</v>
      </c>
      <c r="M46" s="77">
        <f t="shared" ca="1" si="39"/>
        <v>386.92852754556264</v>
      </c>
      <c r="N46" s="77">
        <f t="shared" ca="1" si="39"/>
        <v>461.92227547387716</v>
      </c>
      <c r="O46" s="77">
        <f t="shared" ca="1" si="39"/>
        <v>530.65349194229884</v>
      </c>
    </row>
    <row r="47" spans="1:15" ht="15.75" customHeight="1" x14ac:dyDescent="0.25">
      <c r="B47" s="81" t="s">
        <v>306</v>
      </c>
      <c r="F47" s="166">
        <f>'Cash Flow Statement'!F8</f>
        <v>202.51900000000001</v>
      </c>
      <c r="G47" s="166">
        <f>'Cash Flow Statement'!G8</f>
        <v>218.107</v>
      </c>
      <c r="H47" s="166">
        <f>'Cash Flow Statement'!H8</f>
        <v>225.256</v>
      </c>
      <c r="I47" s="166">
        <f>'Cash Flow Statement'!I8</f>
        <v>255.529</v>
      </c>
      <c r="J47" s="166">
        <f>'Cash Flow Statement'!J8</f>
        <v>290.64699999999999</v>
      </c>
      <c r="K47" s="171">
        <f>'Cash Flow Statement'!K8</f>
        <v>347.37538261872169</v>
      </c>
      <c r="L47" s="166">
        <f ca="1">'Cash Flow Statement'!L8</f>
        <v>403.47665152433729</v>
      </c>
      <c r="M47" s="166">
        <f ca="1">'Cash Flow Statement'!M8</f>
        <v>449.14173720665121</v>
      </c>
      <c r="N47" s="166">
        <f ca="1">'Cash Flow Statement'!N8</f>
        <v>497.49381440167065</v>
      </c>
      <c r="O47" s="166">
        <f ca="1">'Cash Flow Statement'!O8</f>
        <v>532.90858791216817</v>
      </c>
    </row>
    <row r="48" spans="1:15" ht="15.75" customHeight="1" x14ac:dyDescent="0.25">
      <c r="B48" s="81" t="s">
        <v>165</v>
      </c>
      <c r="F48" s="166">
        <f>'Cash Flow Statement'!F9</f>
        <v>43.994</v>
      </c>
      <c r="G48" s="166">
        <f>'Cash Flow Statement'!G9</f>
        <v>62.091000000000001</v>
      </c>
      <c r="H48" s="166">
        <f>'Cash Flow Statement'!H9</f>
        <v>76.703999999999994</v>
      </c>
      <c r="I48" s="166">
        <f>'Cash Flow Statement'!I9</f>
        <v>165.36600000000001</v>
      </c>
      <c r="J48" s="166">
        <f>'Cash Flow Statement'!J9</f>
        <v>353.97300000000001</v>
      </c>
      <c r="K48" s="171">
        <f>'Cash Flow Statement'!K9</f>
        <v>388.05889709968295</v>
      </c>
      <c r="L48" s="166">
        <f ca="1">'Cash Flow Statement'!L9</f>
        <v>450.7305705305584</v>
      </c>
      <c r="M48" s="166">
        <f ca="1">'Cash Flow Statement'!M9</f>
        <v>501.74380771579524</v>
      </c>
      <c r="N48" s="166">
        <f ca="1">'Cash Flow Statement'!N9</f>
        <v>555.75872842585795</v>
      </c>
      <c r="O48" s="166">
        <f ca="1">'Cash Flow Statement'!O9</f>
        <v>595.32116905108512</v>
      </c>
    </row>
    <row r="49" spans="2:15" ht="15.75" customHeight="1" x14ac:dyDescent="0.25">
      <c r="B49" s="81" t="s">
        <v>307</v>
      </c>
      <c r="F49" s="77"/>
      <c r="G49" s="77">
        <v>0</v>
      </c>
      <c r="H49" s="77">
        <v>3.1739999999999999</v>
      </c>
      <c r="I49" s="77">
        <v>9.7279999999999998</v>
      </c>
      <c r="J49" s="76">
        <v>14.273999999999999</v>
      </c>
      <c r="K49" s="77">
        <f>AVERAGE($G49:$J49)</f>
        <v>6.7939999999999996</v>
      </c>
      <c r="L49" s="77">
        <f t="shared" ref="L49:O49" si="40">AVERAGE($G49:$J49)</f>
        <v>6.7939999999999996</v>
      </c>
      <c r="M49" s="77">
        <f t="shared" si="40"/>
        <v>6.7939999999999996</v>
      </c>
      <c r="N49" s="77">
        <f t="shared" si="40"/>
        <v>6.7939999999999996</v>
      </c>
      <c r="O49" s="77">
        <f t="shared" si="40"/>
        <v>6.7939999999999996</v>
      </c>
    </row>
    <row r="50" spans="2:15" s="73" customFormat="1" ht="15.75" customHeight="1" x14ac:dyDescent="0.25">
      <c r="B50" s="78" t="s">
        <v>65</v>
      </c>
      <c r="C50" s="78"/>
      <c r="D50" s="78"/>
      <c r="E50" s="78"/>
      <c r="F50" s="79">
        <f>SUM(F43:F49)</f>
        <v>714.41200000000015</v>
      </c>
      <c r="G50" s="79">
        <f t="shared" ref="G50:J50" si="41">SUM(G43:G49)</f>
        <v>913.67700000000048</v>
      </c>
      <c r="H50" s="79">
        <f t="shared" si="41"/>
        <v>912.68099999999879</v>
      </c>
      <c r="I50" s="79">
        <f t="shared" si="41"/>
        <v>1113.2020000000009</v>
      </c>
      <c r="J50" s="79">
        <f t="shared" si="41"/>
        <v>1464.0829999999994</v>
      </c>
      <c r="K50" s="95">
        <f t="shared" ref="K50" ca="1" si="42">SUM(K43:K49)</f>
        <v>1761.0939371597501</v>
      </c>
      <c r="L50" s="79">
        <f t="shared" ref="L50" ca="1" si="43">SUM(L43:L49)</f>
        <v>2142.9884471754735</v>
      </c>
      <c r="M50" s="79">
        <f t="shared" ref="M50" ca="1" si="44">SUM(M43:M49)</f>
        <v>2494.18661252738</v>
      </c>
      <c r="N50" s="79">
        <f t="shared" ref="N50" ca="1" si="45">SUM(N43:N49)</f>
        <v>2883.0901846267643</v>
      </c>
      <c r="O50" s="79">
        <f t="shared" ref="O50" ca="1" si="46">SUM(O43:O49)</f>
        <v>3217.3883700543556</v>
      </c>
    </row>
    <row r="51" spans="2:15" s="315" customFormat="1" ht="15.75" customHeight="1" x14ac:dyDescent="0.25">
      <c r="B51" s="65" t="s">
        <v>183</v>
      </c>
      <c r="F51" s="316"/>
      <c r="G51" s="316"/>
      <c r="H51" s="316"/>
      <c r="I51" s="316"/>
      <c r="J51" s="317"/>
    </row>
    <row r="52" spans="2:15" s="315" customFormat="1" ht="15.75" customHeight="1" x14ac:dyDescent="0.25">
      <c r="B52" s="65"/>
      <c r="F52" s="316"/>
      <c r="G52" s="316"/>
      <c r="H52" s="316"/>
      <c r="I52" s="316"/>
      <c r="J52" s="317"/>
    </row>
    <row r="53" spans="2:15" ht="15.75" customHeight="1" x14ac:dyDescent="0.25">
      <c r="B53" s="81" t="s">
        <v>35</v>
      </c>
      <c r="F53" s="77"/>
      <c r="G53" s="166">
        <f>'Cash Flow Statement'!G10</f>
        <v>52.012999999999998</v>
      </c>
      <c r="H53" s="166">
        <f>'Cash Flow Statement'!H10</f>
        <v>91.641000000000005</v>
      </c>
      <c r="I53" s="166">
        <f>'Cash Flow Statement'!I10</f>
        <v>88.259</v>
      </c>
      <c r="J53" s="166">
        <f>'Cash Flow Statement'!J10</f>
        <v>105.6</v>
      </c>
      <c r="K53" s="171">
        <f>'Cash Flow Statement'!K10</f>
        <v>115.7687720072619</v>
      </c>
      <c r="L53" s="166">
        <f ca="1">'Cash Flow Statement'!L10</f>
        <v>134.46547688108123</v>
      </c>
      <c r="M53" s="166">
        <f ca="1">'Cash Flow Statement'!M10</f>
        <v>149.68414566870348</v>
      </c>
      <c r="N53" s="166">
        <f ca="1">'Cash Flow Statement'!N10</f>
        <v>165.79830021434009</v>
      </c>
      <c r="O53" s="166">
        <f ca="1">'Cash Flow Statement'!O10</f>
        <v>177.60087761437902</v>
      </c>
    </row>
    <row r="54" spans="2:15" ht="15.75" customHeight="1" x14ac:dyDescent="0.25">
      <c r="B54" s="81" t="s">
        <v>308</v>
      </c>
      <c r="F54" s="63"/>
      <c r="G54" s="63">
        <v>24.766999999999999</v>
      </c>
      <c r="H54" s="63">
        <v>19.809000000000001</v>
      </c>
      <c r="I54" s="63">
        <v>47.368000000000002</v>
      </c>
      <c r="J54" s="76">
        <v>47.430999999999997</v>
      </c>
    </row>
    <row r="55" spans="2:15" ht="15.75" customHeight="1" x14ac:dyDescent="0.25">
      <c r="B55" s="81" t="s">
        <v>309</v>
      </c>
      <c r="F55" s="63"/>
      <c r="G55" s="63">
        <v>-76.801000000000002</v>
      </c>
      <c r="H55" s="63">
        <v>9.9939999999999998</v>
      </c>
      <c r="I55" s="63">
        <v>-2.121</v>
      </c>
      <c r="J55" s="76">
        <v>-20.332999999999998</v>
      </c>
      <c r="K55" s="77">
        <f>AVERAGE($G55:$J55)</f>
        <v>-22.315249999999999</v>
      </c>
      <c r="L55" s="77">
        <f t="shared" ref="L55:O55" si="47">AVERAGE($G55:$J55)</f>
        <v>-22.315249999999999</v>
      </c>
      <c r="M55" s="77">
        <f t="shared" si="47"/>
        <v>-22.315249999999999</v>
      </c>
      <c r="N55" s="77">
        <f t="shared" si="47"/>
        <v>-22.315249999999999</v>
      </c>
      <c r="O55" s="77">
        <f t="shared" si="47"/>
        <v>-22.315249999999999</v>
      </c>
    </row>
    <row r="56" spans="2:15" ht="15.75" customHeight="1" x14ac:dyDescent="0.25">
      <c r="B56" s="81" t="s">
        <v>310</v>
      </c>
      <c r="F56" s="63"/>
      <c r="G56" s="63">
        <v>0</v>
      </c>
      <c r="H56" s="63">
        <v>0</v>
      </c>
      <c r="I56" s="63">
        <v>0</v>
      </c>
      <c r="J56" s="76">
        <v>91.5</v>
      </c>
    </row>
    <row r="57" spans="2:15" ht="15.75" customHeight="1" x14ac:dyDescent="0.25">
      <c r="B57" s="81" t="s">
        <v>311</v>
      </c>
      <c r="F57" s="63"/>
      <c r="G57" s="63">
        <v>0</v>
      </c>
      <c r="H57" s="63">
        <v>0</v>
      </c>
      <c r="I57" s="63">
        <v>0</v>
      </c>
      <c r="J57" s="76">
        <v>-22.222000000000001</v>
      </c>
    </row>
    <row r="58" spans="2:15" ht="15.75" customHeight="1" x14ac:dyDescent="0.25">
      <c r="B58" s="81" t="s">
        <v>312</v>
      </c>
      <c r="F58" s="63"/>
      <c r="G58" s="63">
        <v>13.891999999999999</v>
      </c>
      <c r="H58" s="63">
        <v>8.282</v>
      </c>
      <c r="I58" s="63">
        <v>5.7430000000000003</v>
      </c>
      <c r="J58" s="76">
        <v>14.457000000000001</v>
      </c>
    </row>
    <row r="59" spans="2:15" ht="15.75" customHeight="1" x14ac:dyDescent="0.25">
      <c r="B59" s="81" t="s">
        <v>313</v>
      </c>
      <c r="F59" s="63"/>
      <c r="G59" s="63">
        <v>13.404</v>
      </c>
      <c r="H59" s="63">
        <v>0.71899999999999997</v>
      </c>
      <c r="I59" s="63">
        <v>6.734</v>
      </c>
      <c r="J59" s="76">
        <v>4.4219999999999997</v>
      </c>
    </row>
    <row r="60" spans="2:15" ht="15.75" customHeight="1" x14ac:dyDescent="0.25">
      <c r="B60" s="81" t="s">
        <v>314</v>
      </c>
      <c r="F60" s="63">
        <v>110.49699999999984</v>
      </c>
      <c r="G60" s="63">
        <v>0.85299999999999998</v>
      </c>
      <c r="H60" s="63">
        <v>6.8079999999999998</v>
      </c>
      <c r="I60" s="63">
        <v>0</v>
      </c>
      <c r="J60" s="76">
        <v>0</v>
      </c>
    </row>
    <row r="61" spans="2:15" s="73" customFormat="1" ht="15.75" customHeight="1" x14ac:dyDescent="0.25">
      <c r="B61" s="78" t="s">
        <v>184</v>
      </c>
      <c r="C61" s="78"/>
      <c r="D61" s="78"/>
      <c r="E61" s="78"/>
      <c r="F61" s="79">
        <f>SUM(F50:F60)</f>
        <v>824.90899999999999</v>
      </c>
      <c r="G61" s="79">
        <f>SUM(G50:G60)</f>
        <v>941.80500000000052</v>
      </c>
      <c r="H61" s="79">
        <f>SUM(H50:H60)</f>
        <v>1049.9339999999986</v>
      </c>
      <c r="I61" s="79">
        <f t="shared" ref="I61:J61" si="48">SUM(I50:I60)</f>
        <v>1259.1850000000006</v>
      </c>
      <c r="J61" s="79">
        <f t="shared" si="48"/>
        <v>1684.9379999999994</v>
      </c>
      <c r="K61" s="95">
        <f t="shared" ref="K61" ca="1" si="49">SUM(K50:K60)</f>
        <v>1854.547459167012</v>
      </c>
      <c r="L61" s="79">
        <f t="shared" ref="L61" ca="1" si="50">SUM(L50:L60)</f>
        <v>2255.1386740565545</v>
      </c>
      <c r="M61" s="79">
        <f t="shared" ref="M61" ca="1" si="51">SUM(M50:M60)</f>
        <v>2621.5555081960833</v>
      </c>
      <c r="N61" s="79">
        <f t="shared" ref="N61" ca="1" si="52">SUM(N50:N60)</f>
        <v>3026.5732348411043</v>
      </c>
      <c r="O61" s="79">
        <f t="shared" ref="O61" ca="1" si="53">SUM(O50:O60)</f>
        <v>3372.6739976687345</v>
      </c>
    </row>
    <row r="62" spans="2:15" s="65" customFormat="1" ht="15.75" customHeight="1" x14ac:dyDescent="0.25">
      <c r="B62" s="65" t="s">
        <v>183</v>
      </c>
    </row>
    <row r="63" spans="2:15" ht="15.75" customHeight="1" x14ac:dyDescent="0.25">
      <c r="G63" s="308"/>
    </row>
    <row r="64" spans="2:15" ht="15.75" customHeight="1" x14ac:dyDescent="0.25">
      <c r="F64"/>
      <c r="G64" s="313"/>
    </row>
    <row r="65" spans="6:7" ht="15.75" customHeight="1" x14ac:dyDescent="0.25">
      <c r="F65" s="314"/>
      <c r="G65" s="308"/>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74D5-3297-4010-97EF-1574BA1727C3}">
  <sheetPr>
    <tabColor theme="8" tint="-0.249977111117893"/>
  </sheetPr>
  <dimension ref="A1:W51"/>
  <sheetViews>
    <sheetView showGridLines="0" zoomScaleNormal="100" workbookViewId="0">
      <pane xSplit="5" ySplit="4" topLeftCell="F11" activePane="bottomRight" state="frozen"/>
      <selection pane="topRight" activeCell="F1" sqref="F1"/>
      <selection pane="bottomLeft" activeCell="A5" sqref="A5"/>
      <selection pane="bottomRight" activeCell="K29" sqref="K29"/>
    </sheetView>
  </sheetViews>
  <sheetFormatPr defaultColWidth="12.7109375" defaultRowHeight="15.75" customHeight="1" x14ac:dyDescent="0.25"/>
  <cols>
    <col min="1" max="1" width="5.7109375" style="54" customWidth="1"/>
    <col min="2" max="5" width="12.7109375" style="54"/>
    <col min="6" max="15" width="15.7109375" style="54" customWidth="1"/>
    <col min="16" max="16" width="3.140625" style="54" customWidth="1"/>
    <col min="17" max="18" width="12.7109375" style="54"/>
    <col min="19" max="19" width="31.5703125" style="66" bestFit="1" customWidth="1"/>
    <col min="20" max="20" width="31.5703125" style="54" bestFit="1" customWidth="1"/>
    <col min="21" max="23" width="32.7109375" style="54" bestFit="1" customWidth="1"/>
    <col min="24" max="16384" width="12.7109375" style="54"/>
  </cols>
  <sheetData>
    <row r="1" spans="1:20" s="48" customFormat="1" ht="15.75" customHeight="1" x14ac:dyDescent="0.25">
      <c r="S1" s="64"/>
    </row>
    <row r="2" spans="1:20" s="48" customFormat="1" ht="15.75" customHeight="1" x14ac:dyDescent="0.25">
      <c r="B2" s="8" t="s">
        <v>12</v>
      </c>
      <c r="S2" s="64"/>
    </row>
    <row r="3" spans="1:20" s="48" customFormat="1" ht="15.75" customHeight="1" x14ac:dyDescent="0.25">
      <c r="B3" s="18"/>
      <c r="S3" s="64"/>
    </row>
    <row r="4" spans="1:20" s="48" customFormat="1" ht="15.75" customHeight="1" thickBot="1" x14ac:dyDescent="0.3">
      <c r="B4" s="49" t="s">
        <v>5</v>
      </c>
      <c r="C4" s="49"/>
      <c r="D4" s="49"/>
      <c r="E4" s="49"/>
      <c r="F4" s="293">
        <v>2018</v>
      </c>
      <c r="G4" s="293">
        <v>2019</v>
      </c>
      <c r="H4" s="293">
        <v>2020</v>
      </c>
      <c r="I4" s="293">
        <v>2021</v>
      </c>
      <c r="J4" s="293">
        <v>2022</v>
      </c>
      <c r="K4" s="294">
        <f>J4+1</f>
        <v>2023</v>
      </c>
      <c r="L4" s="294">
        <f t="shared" ref="L4:O4" si="0">K4+1</f>
        <v>2024</v>
      </c>
      <c r="M4" s="294">
        <f t="shared" si="0"/>
        <v>2025</v>
      </c>
      <c r="N4" s="294">
        <f t="shared" si="0"/>
        <v>2026</v>
      </c>
      <c r="O4" s="294">
        <f t="shared" si="0"/>
        <v>2027</v>
      </c>
      <c r="S4" s="64"/>
    </row>
    <row r="5" spans="1:20" s="50" customFormat="1" ht="15.75" customHeight="1" x14ac:dyDescent="0.25">
      <c r="B5" s="50" t="s">
        <v>4</v>
      </c>
      <c r="J5" s="53"/>
      <c r="S5" s="65"/>
    </row>
    <row r="6" spans="1:20" ht="15.75" customHeight="1" x14ac:dyDescent="0.25">
      <c r="J6" s="55"/>
      <c r="P6" s="66"/>
    </row>
    <row r="7" spans="1:20" ht="15.75" customHeight="1" x14ac:dyDescent="0.25">
      <c r="A7" s="54" t="s">
        <v>213</v>
      </c>
      <c r="B7" s="56" t="s">
        <v>13</v>
      </c>
      <c r="J7" s="55"/>
      <c r="P7" s="295"/>
    </row>
    <row r="8" spans="1:20" ht="15.75" customHeight="1" x14ac:dyDescent="0.25">
      <c r="B8" s="61" t="s">
        <v>14</v>
      </c>
      <c r="F8" s="51">
        <v>78.686999999999998</v>
      </c>
      <c r="G8" s="51">
        <v>164.798</v>
      </c>
      <c r="H8" s="51">
        <v>184.62</v>
      </c>
      <c r="I8" s="51">
        <v>229.09700000000001</v>
      </c>
      <c r="J8" s="52">
        <v>428.505</v>
      </c>
      <c r="K8" s="166">
        <f ca="1">J8+'Cash Flow Statement'!K31</f>
        <v>606.10506522470553</v>
      </c>
      <c r="L8" s="296">
        <f ca="1">K8+'Cash Flow Statement'!L31</f>
        <v>2094.8532746124192</v>
      </c>
      <c r="M8" s="296">
        <f ca="1">L8+'Cash Flow Statement'!M31</f>
        <v>3762.5955856779065</v>
      </c>
      <c r="N8" s="296">
        <f ca="1">M8+'Cash Flow Statement'!N31</f>
        <v>5715.6948408239614</v>
      </c>
      <c r="O8" s="296">
        <f ca="1">N8+'Cash Flow Statement'!O31</f>
        <v>7830.8174693990986</v>
      </c>
      <c r="P8" s="295"/>
    </row>
    <row r="9" spans="1:20" ht="15.75" customHeight="1" x14ac:dyDescent="0.25">
      <c r="B9" s="61" t="s">
        <v>15</v>
      </c>
      <c r="F9" s="51">
        <v>2354.7370000000001</v>
      </c>
      <c r="G9" s="51">
        <v>2747.9110000000001</v>
      </c>
      <c r="H9" s="51">
        <v>2716.0830000000001</v>
      </c>
      <c r="I9" s="51">
        <v>3400.3180000000002</v>
      </c>
      <c r="J9" s="52">
        <v>3674.5250000000001</v>
      </c>
      <c r="K9" s="166">
        <f>NWC!K8</f>
        <v>4102.5836107951536</v>
      </c>
      <c r="L9" s="296">
        <f ca="1">NWC!L8</f>
        <v>4765.1525718479106</v>
      </c>
      <c r="M9" s="296">
        <f ca="1">NWC!M8</f>
        <v>5304.4677953202854</v>
      </c>
      <c r="N9" s="296">
        <f ca="1">NWC!N8</f>
        <v>5875.5170100135356</v>
      </c>
      <c r="O9" s="296">
        <f ca="1">NWC!O8</f>
        <v>6293.7736760124089</v>
      </c>
      <c r="P9" s="295"/>
    </row>
    <row r="10" spans="1:20" ht="15.75" customHeight="1" x14ac:dyDescent="0.25">
      <c r="B10" s="61" t="s">
        <v>158</v>
      </c>
      <c r="F10" s="51">
        <v>576.89099999999996</v>
      </c>
      <c r="G10" s="51">
        <v>601.26800000000003</v>
      </c>
      <c r="H10" s="51">
        <v>453.83199999999999</v>
      </c>
      <c r="I10" s="51">
        <v>803.45299999999997</v>
      </c>
      <c r="J10" s="52">
        <v>1080.2059999999999</v>
      </c>
      <c r="K10" s="166">
        <f>NWC!K9</f>
        <v>1184.2246414287533</v>
      </c>
      <c r="L10" s="296">
        <f ca="1">NWC!L9</f>
        <v>1375.477414013307</v>
      </c>
      <c r="M10" s="296">
        <f ca="1">NWC!M9</f>
        <v>1531.1525781837834</v>
      </c>
      <c r="N10" s="296">
        <f ca="1">NWC!N9</f>
        <v>1695.9878663004872</v>
      </c>
      <c r="O10" s="296">
        <f ca="1">NWC!O9</f>
        <v>1816.7190682227074</v>
      </c>
      <c r="P10" s="295"/>
      <c r="Q10" s="57"/>
    </row>
    <row r="11" spans="1:20" ht="15.75" customHeight="1" x14ac:dyDescent="0.25">
      <c r="B11" s="61" t="s">
        <v>159</v>
      </c>
      <c r="F11" s="51">
        <v>107.732</v>
      </c>
      <c r="G11" s="51">
        <v>55.719000000000001</v>
      </c>
      <c r="H11" s="51">
        <v>50.472000000000001</v>
      </c>
      <c r="I11" s="51">
        <v>84.659000000000006</v>
      </c>
      <c r="J11" s="52">
        <v>103.265</v>
      </c>
      <c r="K11" s="166">
        <f>NWC!K10</f>
        <v>124.02069662775621</v>
      </c>
      <c r="L11" s="296">
        <f ca="1">NWC!L10</f>
        <v>144.05009076306916</v>
      </c>
      <c r="M11" s="296">
        <f ca="1">NWC!M10</f>
        <v>160.35353660656148</v>
      </c>
      <c r="N11" s="296">
        <f ca="1">NWC!N10</f>
        <v>177.61629786476863</v>
      </c>
      <c r="O11" s="296">
        <f ca="1">NWC!O10</f>
        <v>190.26015549387108</v>
      </c>
      <c r="P11" s="295"/>
      <c r="Q11" s="57"/>
    </row>
    <row r="12" spans="1:20" ht="15.75" customHeight="1" x14ac:dyDescent="0.25">
      <c r="B12" s="61" t="s">
        <v>16</v>
      </c>
      <c r="F12" s="51">
        <v>208.05699999999999</v>
      </c>
      <c r="G12" s="51">
        <v>261.29000000000002</v>
      </c>
      <c r="H12" s="51">
        <v>183.38200000000001</v>
      </c>
      <c r="I12" s="51">
        <v>215.05</v>
      </c>
      <c r="J12" s="52">
        <v>249.56899999999999</v>
      </c>
      <c r="K12" s="166">
        <f>NWC!K11</f>
        <v>273.60129413901842</v>
      </c>
      <c r="L12" s="296">
        <f ca="1">NWC!L11</f>
        <v>317.78801704294091</v>
      </c>
      <c r="M12" s="296">
        <f ca="1">NWC!M11</f>
        <v>353.75494839386988</v>
      </c>
      <c r="N12" s="296">
        <f ca="1">NWC!N11</f>
        <v>391.83821956621819</v>
      </c>
      <c r="O12" s="296">
        <f ca="1">NWC!O11</f>
        <v>419.73175592180831</v>
      </c>
      <c r="P12" s="295"/>
      <c r="Q12" s="57"/>
    </row>
    <row r="13" spans="1:20" s="56" customFormat="1" ht="15.75" customHeight="1" x14ac:dyDescent="0.25">
      <c r="B13" s="62" t="s">
        <v>17</v>
      </c>
      <c r="C13" s="58"/>
      <c r="D13" s="58"/>
      <c r="E13" s="58"/>
      <c r="F13" s="59">
        <f>SUM(F8:F12)</f>
        <v>3326.1039999999998</v>
      </c>
      <c r="G13" s="59">
        <f t="shared" ref="G13:O13" si="1">SUM(G8:G12)</f>
        <v>3830.9859999999999</v>
      </c>
      <c r="H13" s="59">
        <f t="shared" si="1"/>
        <v>3588.3890000000001</v>
      </c>
      <c r="I13" s="59">
        <f t="shared" si="1"/>
        <v>4732.5770000000002</v>
      </c>
      <c r="J13" s="59">
        <f t="shared" si="1"/>
        <v>5536.0700000000006</v>
      </c>
      <c r="K13" s="297">
        <f t="shared" ca="1" si="1"/>
        <v>6290.535308215387</v>
      </c>
      <c r="L13" s="59">
        <f t="shared" ca="1" si="1"/>
        <v>8697.3213682796468</v>
      </c>
      <c r="M13" s="59">
        <f t="shared" ca="1" si="1"/>
        <v>11112.324444182404</v>
      </c>
      <c r="N13" s="59">
        <f t="shared" ca="1" si="1"/>
        <v>13856.65423456897</v>
      </c>
      <c r="O13" s="59">
        <f t="shared" ca="1" si="1"/>
        <v>16551.302125049897</v>
      </c>
      <c r="P13" s="295"/>
      <c r="S13" s="193"/>
    </row>
    <row r="14" spans="1:20" s="56" customFormat="1" ht="15.75" customHeight="1" x14ac:dyDescent="0.25">
      <c r="B14" s="190"/>
      <c r="F14" s="191"/>
      <c r="G14" s="191"/>
      <c r="H14" s="191"/>
      <c r="I14" s="191"/>
      <c r="J14" s="192"/>
      <c r="K14" s="196"/>
      <c r="L14" s="191"/>
      <c r="M14" s="191"/>
      <c r="N14" s="191"/>
      <c r="O14" s="191"/>
      <c r="P14" s="295"/>
      <c r="S14" s="193"/>
    </row>
    <row r="15" spans="1:20" ht="15.75" customHeight="1" x14ac:dyDescent="0.25">
      <c r="B15" s="61" t="s">
        <v>18</v>
      </c>
      <c r="F15" s="51">
        <v>1276.0319999999999</v>
      </c>
      <c r="G15" s="51">
        <v>1386.654</v>
      </c>
      <c r="H15" s="51">
        <v>1560.6559999999999</v>
      </c>
      <c r="I15" s="51">
        <v>1919.6969999999999</v>
      </c>
      <c r="J15" s="52">
        <v>2030.4639999999999</v>
      </c>
      <c r="K15" s="166">
        <f>PPE!K11</f>
        <v>2151.897329251216</v>
      </c>
      <c r="L15" s="296">
        <f ca="1">PPE!L11</f>
        <v>2292.9421917293103</v>
      </c>
      <c r="M15" s="296">
        <f ca="1">PPE!M11</f>
        <v>2449.9503713058757</v>
      </c>
      <c r="N15" s="296">
        <f ca="1">PPE!N11</f>
        <v>2623.8611697892266</v>
      </c>
      <c r="O15" s="296">
        <f ca="1">PPE!O11</f>
        <v>2810.1520448906654</v>
      </c>
      <c r="P15" s="295"/>
    </row>
    <row r="16" spans="1:20" ht="15.75" customHeight="1" x14ac:dyDescent="0.25">
      <c r="B16" s="61" t="s">
        <v>189</v>
      </c>
      <c r="F16" s="51">
        <v>2180.0589999999997</v>
      </c>
      <c r="G16" s="51">
        <v>2436.4090000000001</v>
      </c>
      <c r="H16" s="51">
        <v>2556.6689999999999</v>
      </c>
      <c r="I16" s="51">
        <v>5330.0659999999998</v>
      </c>
      <c r="J16" s="52">
        <v>5045.3760000000002</v>
      </c>
      <c r="K16" s="166">
        <f>J16-'Cash Flow Statement'!K9</f>
        <v>4657.317102900317</v>
      </c>
      <c r="L16" s="296">
        <f ca="1">K16-'Cash Flow Statement'!L9</f>
        <v>4206.586532369759</v>
      </c>
      <c r="M16" s="296">
        <f ca="1">L16-'Cash Flow Statement'!M9</f>
        <v>3704.8427246539636</v>
      </c>
      <c r="N16" s="296">
        <f ca="1">M16-'Cash Flow Statement'!N9</f>
        <v>3149.0839962281057</v>
      </c>
      <c r="O16" s="296">
        <f ca="1">N16-'Cash Flow Statement'!O9</f>
        <v>2553.7628271770204</v>
      </c>
      <c r="P16" s="295"/>
      <c r="Q16" s="295"/>
      <c r="R16" s="295"/>
      <c r="S16" s="295"/>
      <c r="T16" s="295"/>
    </row>
    <row r="17" spans="1:23" ht="15.75" customHeight="1" x14ac:dyDescent="0.25">
      <c r="B17" s="61" t="s">
        <v>19</v>
      </c>
      <c r="F17" s="51">
        <v>293.59199999999998</v>
      </c>
      <c r="G17" s="51">
        <v>677.63300000000004</v>
      </c>
      <c r="H17" s="51">
        <v>692.55799999999999</v>
      </c>
      <c r="I17" s="51">
        <f>(240605+632244)/1000</f>
        <v>872.84900000000005</v>
      </c>
      <c r="J17" s="52">
        <f>(622736+229691)/1000</f>
        <v>852.42700000000002</v>
      </c>
      <c r="K17" s="166">
        <f>J17*('Income Statement'!K$7/'Income Statement'!J$7)</f>
        <v>934.51161946812738</v>
      </c>
      <c r="L17" s="296">
        <f ca="1">K17*('Income Statement'!L$7/'Income Statement'!K$7)</f>
        <v>1085.4356350502787</v>
      </c>
      <c r="M17" s="296">
        <f ca="1">L17*('Income Statement'!M$7/'Income Statement'!L$7)</f>
        <v>1208.2841594690901</v>
      </c>
      <c r="N17" s="296">
        <f ca="1">M17*('Income Statement'!N$7/'Income Statement'!M$7)</f>
        <v>1338.3612467500882</v>
      </c>
      <c r="O17" s="296">
        <f ca="1">N17*('Income Statement'!O$7/'Income Statement'!N$7)</f>
        <v>1433.6343115737909</v>
      </c>
      <c r="P17" s="295"/>
    </row>
    <row r="18" spans="1:23" s="56" customFormat="1" ht="15.75" customHeight="1" x14ac:dyDescent="0.25">
      <c r="B18" s="62" t="s">
        <v>20</v>
      </c>
      <c r="C18" s="58"/>
      <c r="D18" s="58"/>
      <c r="E18" s="58"/>
      <c r="F18" s="59">
        <f t="shared" ref="F18:O18" si="2">SUM(F13:F17)</f>
        <v>7075.7869999999994</v>
      </c>
      <c r="G18" s="59">
        <f t="shared" si="2"/>
        <v>8331.6819999999989</v>
      </c>
      <c r="H18" s="59">
        <f t="shared" si="2"/>
        <v>8398.2720000000008</v>
      </c>
      <c r="I18" s="59">
        <f t="shared" si="2"/>
        <v>12855.189</v>
      </c>
      <c r="J18" s="60">
        <f t="shared" si="2"/>
        <v>13464.337</v>
      </c>
      <c r="K18" s="297">
        <f t="shared" ca="1" si="2"/>
        <v>14034.261359835047</v>
      </c>
      <c r="L18" s="59">
        <f t="shared" ca="1" si="2"/>
        <v>16282.285727428993</v>
      </c>
      <c r="M18" s="59">
        <f t="shared" ca="1" si="2"/>
        <v>18475.401699611335</v>
      </c>
      <c r="N18" s="59">
        <f t="shared" ca="1" si="2"/>
        <v>20967.960647336393</v>
      </c>
      <c r="O18" s="59">
        <f t="shared" ca="1" si="2"/>
        <v>23348.851308691374</v>
      </c>
      <c r="P18" s="295"/>
      <c r="S18" s="193"/>
    </row>
    <row r="19" spans="1:23" ht="15.75" customHeight="1" x14ac:dyDescent="0.25">
      <c r="F19" s="298"/>
      <c r="G19" s="298"/>
      <c r="H19" s="298"/>
      <c r="I19" s="298"/>
      <c r="J19" s="299"/>
      <c r="K19" s="197"/>
      <c r="L19" s="298"/>
      <c r="M19" s="298"/>
      <c r="N19" s="298"/>
      <c r="O19" s="298"/>
      <c r="P19" s="295"/>
    </row>
    <row r="20" spans="1:23" ht="15.75" customHeight="1" x14ac:dyDescent="0.25">
      <c r="A20" s="54" t="s">
        <v>213</v>
      </c>
      <c r="B20" s="56" t="s">
        <v>32</v>
      </c>
      <c r="F20" s="298"/>
      <c r="G20" s="298"/>
      <c r="H20" s="298"/>
      <c r="I20" s="298"/>
      <c r="J20" s="299"/>
      <c r="K20" s="197"/>
      <c r="L20" s="298"/>
      <c r="M20" s="298"/>
      <c r="N20" s="298"/>
      <c r="O20" s="298"/>
      <c r="P20" s="295"/>
    </row>
    <row r="21" spans="1:23" ht="15.75" customHeight="1" x14ac:dyDescent="0.25">
      <c r="B21" s="61" t="s">
        <v>21</v>
      </c>
      <c r="F21" s="51">
        <v>1314.52</v>
      </c>
      <c r="G21" s="51">
        <v>1489.559</v>
      </c>
      <c r="H21" s="51">
        <v>1509.7940000000001</v>
      </c>
      <c r="I21" s="51">
        <v>2254.6709999999998</v>
      </c>
      <c r="J21" s="52">
        <v>2153.1289999999999</v>
      </c>
      <c r="K21" s="166">
        <f ca="1">NWC!K15</f>
        <v>2362.4721002441793</v>
      </c>
      <c r="L21" s="296">
        <f ca="1">NWC!L15</f>
        <v>2738.2315232959331</v>
      </c>
      <c r="M21" s="296">
        <f ca="1">NWC!M15</f>
        <v>3021.2193725315433</v>
      </c>
      <c r="N21" s="296">
        <f ca="1">NWC!N15</f>
        <v>3325.0725673520069</v>
      </c>
      <c r="O21" s="296">
        <f ca="1">NWC!O15</f>
        <v>3531.6501113787244</v>
      </c>
      <c r="P21" s="295"/>
      <c r="Q21" s="57"/>
      <c r="R21" s="57"/>
      <c r="S21" s="67"/>
      <c r="T21" s="57"/>
    </row>
    <row r="22" spans="1:23" ht="15.75" customHeight="1" x14ac:dyDescent="0.25">
      <c r="B22" s="61" t="s">
        <v>163</v>
      </c>
      <c r="F22" s="51">
        <v>425.96100000000001</v>
      </c>
      <c r="G22" s="51">
        <v>606.14599999999996</v>
      </c>
      <c r="H22" s="51">
        <v>528.86400000000003</v>
      </c>
      <c r="I22" s="51">
        <v>802.87199999999996</v>
      </c>
      <c r="J22" s="52">
        <v>1141.518</v>
      </c>
      <c r="K22" s="166">
        <f>NWC!K16</f>
        <v>1251.4406920850909</v>
      </c>
      <c r="L22" s="296">
        <f ca="1">NWC!L16</f>
        <v>1453.5488848327468</v>
      </c>
      <c r="M22" s="296">
        <f ca="1">NWC!M16</f>
        <v>1618.060100335673</v>
      </c>
      <c r="N22" s="296">
        <f ca="1">NWC!N16</f>
        <v>1792.2513642431161</v>
      </c>
      <c r="O22" s="296">
        <f ca="1">NWC!O16</f>
        <v>1919.8352141345711</v>
      </c>
      <c r="P22" s="295"/>
      <c r="Q22" s="57"/>
      <c r="R22" s="57"/>
      <c r="S22" s="295"/>
      <c r="T22" s="295"/>
      <c r="U22" s="295"/>
      <c r="V22" s="295"/>
      <c r="W22" s="295"/>
    </row>
    <row r="23" spans="1:23" ht="15.75" customHeight="1" x14ac:dyDescent="0.25">
      <c r="B23" s="61" t="s">
        <v>22</v>
      </c>
      <c r="F23" s="51">
        <v>33.421999999999997</v>
      </c>
      <c r="G23" s="51">
        <v>6.5419999999999998</v>
      </c>
      <c r="H23" s="51">
        <v>4.2329999999999997</v>
      </c>
      <c r="I23" s="51">
        <v>15.747999999999999</v>
      </c>
      <c r="J23" s="52">
        <v>0</v>
      </c>
      <c r="K23" s="166">
        <f>J23+'Cash Flow Statement'!K21</f>
        <v>0</v>
      </c>
      <c r="L23" s="296">
        <f>K23+'Cash Flow Statement'!L21</f>
        <v>0</v>
      </c>
      <c r="M23" s="296">
        <f>L23+'Cash Flow Statement'!M21</f>
        <v>0</v>
      </c>
      <c r="N23" s="296">
        <f>M23+'Cash Flow Statement'!N21</f>
        <v>0</v>
      </c>
      <c r="O23" s="296">
        <f>N23+'Cash Flow Statement'!O21</f>
        <v>0</v>
      </c>
      <c r="P23" s="295"/>
      <c r="Q23" s="57"/>
      <c r="R23" s="57"/>
      <c r="S23" s="295"/>
      <c r="T23" s="295"/>
      <c r="U23" s="295"/>
      <c r="V23" s="295"/>
      <c r="W23" s="295"/>
    </row>
    <row r="24" spans="1:23" ht="15.75" customHeight="1" x14ac:dyDescent="0.25">
      <c r="B24" s="61" t="s">
        <v>160</v>
      </c>
      <c r="F24" s="51">
        <v>32.223999999999997</v>
      </c>
      <c r="G24" s="51">
        <v>68.326999999999998</v>
      </c>
      <c r="H24" s="51">
        <v>10.531000000000001</v>
      </c>
      <c r="I24" s="51">
        <v>13.417999999999999</v>
      </c>
      <c r="J24" s="52">
        <v>37.494999999999997</v>
      </c>
      <c r="K24" s="166">
        <f ca="1">'Debt Schedule'!K26</f>
        <v>41.269326812895869</v>
      </c>
      <c r="L24" s="296">
        <f ca="1">'Debt Schedule'!L26</f>
        <v>50.183700874305487</v>
      </c>
      <c r="M24" s="296">
        <f ca="1">'Debt Schedule'!M26</f>
        <v>58.337590926082839</v>
      </c>
      <c r="N24" s="296">
        <f ca="1">'Debt Schedule'!N26</f>
        <v>67.350468349795207</v>
      </c>
      <c r="O24" s="296">
        <f ca="1">'Debt Schedule'!O26</f>
        <v>75.052263966145475</v>
      </c>
      <c r="P24" s="295"/>
      <c r="Q24" s="295"/>
      <c r="R24" s="295"/>
      <c r="S24" s="295"/>
      <c r="T24" s="295"/>
    </row>
    <row r="25" spans="1:23" ht="15.75" customHeight="1" x14ac:dyDescent="0.25">
      <c r="B25" s="61" t="s">
        <v>23</v>
      </c>
      <c r="F25" s="51">
        <v>0</v>
      </c>
      <c r="G25" s="51">
        <v>92.474999999999994</v>
      </c>
      <c r="H25" s="51">
        <v>85.134</v>
      </c>
      <c r="I25" s="51">
        <v>78.251000000000005</v>
      </c>
      <c r="J25" s="52">
        <v>74.052000000000007</v>
      </c>
      <c r="K25" s="166">
        <f>NWC!K17</f>
        <v>97.242760490919437</v>
      </c>
      <c r="L25" s="296">
        <f ca="1">NWC!L17</f>
        <v>112.94750679245377</v>
      </c>
      <c r="M25" s="296">
        <f ca="1">NWC!M17</f>
        <v>125.73079315064847</v>
      </c>
      <c r="N25" s="296">
        <f ca="1">NWC!N17</f>
        <v>139.26626427836075</v>
      </c>
      <c r="O25" s="296">
        <f ca="1">NWC!O17</f>
        <v>149.18012263055553</v>
      </c>
      <c r="P25" s="295"/>
      <c r="Q25" s="57"/>
      <c r="R25" s="57"/>
      <c r="S25" s="67"/>
      <c r="T25" s="57"/>
    </row>
    <row r="26" spans="1:23" s="56" customFormat="1" ht="15.75" customHeight="1" x14ac:dyDescent="0.25">
      <c r="B26" s="62" t="s">
        <v>24</v>
      </c>
      <c r="C26" s="58"/>
      <c r="D26" s="58"/>
      <c r="E26" s="58"/>
      <c r="F26" s="59">
        <f>SUM(F21:F25)</f>
        <v>1806.127</v>
      </c>
      <c r="G26" s="59">
        <f t="shared" ref="G26:O26" si="3">SUM(G21:G25)</f>
        <v>2263.0489999999995</v>
      </c>
      <c r="H26" s="59">
        <f t="shared" si="3"/>
        <v>2138.556</v>
      </c>
      <c r="I26" s="59">
        <f t="shared" si="3"/>
        <v>3164.96</v>
      </c>
      <c r="J26" s="60">
        <f t="shared" si="3"/>
        <v>3406.194</v>
      </c>
      <c r="K26" s="297">
        <f ca="1">SUM(K21:K25)</f>
        <v>3752.4248796330853</v>
      </c>
      <c r="L26" s="59">
        <f t="shared" ca="1" si="3"/>
        <v>4354.9116157954395</v>
      </c>
      <c r="M26" s="59">
        <f t="shared" ca="1" si="3"/>
        <v>4823.3478569439476</v>
      </c>
      <c r="N26" s="59">
        <f t="shared" ca="1" si="3"/>
        <v>5323.9406642232789</v>
      </c>
      <c r="O26" s="59">
        <f t="shared" ca="1" si="3"/>
        <v>5675.7177121099967</v>
      </c>
      <c r="P26" s="295"/>
      <c r="Q26" s="68"/>
      <c r="R26" s="68"/>
      <c r="S26" s="193"/>
    </row>
    <row r="27" spans="1:23" s="56" customFormat="1" ht="15.75" customHeight="1" x14ac:dyDescent="0.25">
      <c r="B27" s="190"/>
      <c r="F27" s="191"/>
      <c r="G27" s="191"/>
      <c r="H27" s="191"/>
      <c r="I27" s="191"/>
      <c r="J27" s="192"/>
      <c r="K27" s="196"/>
      <c r="L27" s="191"/>
      <c r="M27" s="191"/>
      <c r="N27" s="191"/>
      <c r="O27" s="191"/>
      <c r="P27" s="295"/>
      <c r="Q27" s="68"/>
      <c r="R27" s="68"/>
      <c r="S27" s="193"/>
    </row>
    <row r="28" spans="1:23" ht="15.75" customHeight="1" x14ac:dyDescent="0.25">
      <c r="B28" s="61" t="s">
        <v>161</v>
      </c>
      <c r="F28" s="51">
        <v>1040.5319999999999</v>
      </c>
      <c r="G28" s="51">
        <v>1292.1949999999999</v>
      </c>
      <c r="H28" s="51">
        <v>1174.2940000000001</v>
      </c>
      <c r="I28" s="51">
        <v>3724.4740000000002</v>
      </c>
      <c r="J28" s="52">
        <v>3692.4319999999998</v>
      </c>
      <c r="K28" s="166">
        <f ca="1">'Debt Schedule'!K27+'Debt Schedule'!K17</f>
        <v>3197.9980525419078</v>
      </c>
      <c r="L28" s="296">
        <f ca="1">'Debt Schedule'!L27+'Debt Schedule'!L17</f>
        <v>3888.7810889909015</v>
      </c>
      <c r="M28" s="296">
        <f ca="1">'Debt Schedule'!M27+'Debt Schedule'!M17</f>
        <v>4520.6335208090168</v>
      </c>
      <c r="N28" s="296">
        <f ca="1">'Debt Schedule'!N27+'Debt Schedule'!N17</f>
        <v>5219.049673306673</v>
      </c>
      <c r="O28" s="296">
        <f ca="1">'Debt Schedule'!O27+'Debt Schedule'!O17</f>
        <v>5815.8688919440719</v>
      </c>
      <c r="P28" s="295"/>
      <c r="Q28" s="57"/>
      <c r="R28" s="57"/>
      <c r="S28" s="67"/>
      <c r="T28" s="57"/>
    </row>
    <row r="29" spans="1:23" ht="15.75" customHeight="1" x14ac:dyDescent="0.25">
      <c r="B29" s="61" t="s">
        <v>25</v>
      </c>
      <c r="F29" s="51">
        <v>623.67499999999995</v>
      </c>
      <c r="G29" s="51">
        <v>722.60699999999997</v>
      </c>
      <c r="H29" s="51">
        <v>736.45</v>
      </c>
      <c r="I29" s="51">
        <v>848.83399999999995</v>
      </c>
      <c r="J29" s="52">
        <v>966.89200000000005</v>
      </c>
      <c r="K29" s="166">
        <f>J29*('Income Statement'!K$7/'Income Statement'!J$7)</f>
        <v>1059.9990483299762</v>
      </c>
      <c r="L29" s="296">
        <f ca="1">K29*('Income Statement'!L$7/'Income Statement'!K$7)</f>
        <v>1231.1893359138485</v>
      </c>
      <c r="M29" s="296">
        <f ca="1">L29*('Income Statement'!M$7/'Income Statement'!L$7)</f>
        <v>1370.5341190710612</v>
      </c>
      <c r="N29" s="296">
        <f ca="1">M29*('Income Statement'!N$7/'Income Statement'!M$7)</f>
        <v>1518.0781258602628</v>
      </c>
      <c r="O29" s="296">
        <f ca="1">N29*('Income Statement'!O$7/'Income Statement'!N$7)</f>
        <v>1626.1445810447178</v>
      </c>
      <c r="P29" s="295"/>
      <c r="Q29" s="57"/>
      <c r="R29" s="57"/>
    </row>
    <row r="30" spans="1:23" ht="15.75" customHeight="1" x14ac:dyDescent="0.25">
      <c r="B30" s="62" t="s">
        <v>26</v>
      </c>
      <c r="C30" s="58"/>
      <c r="D30" s="58"/>
      <c r="E30" s="58"/>
      <c r="F30" s="59">
        <f t="shared" ref="F30:O30" si="4">SUM(F26:F29)</f>
        <v>3470.3339999999998</v>
      </c>
      <c r="G30" s="59">
        <f t="shared" si="4"/>
        <v>4277.8509999999997</v>
      </c>
      <c r="H30" s="59">
        <f t="shared" si="4"/>
        <v>4049.3</v>
      </c>
      <c r="I30" s="59">
        <f t="shared" si="4"/>
        <v>7738.268</v>
      </c>
      <c r="J30" s="60">
        <f t="shared" si="4"/>
        <v>8065.518</v>
      </c>
      <c r="K30" s="195">
        <f t="shared" ca="1" si="4"/>
        <v>8010.4219805049697</v>
      </c>
      <c r="L30" s="59">
        <f t="shared" ca="1" si="4"/>
        <v>9474.8820407001895</v>
      </c>
      <c r="M30" s="59">
        <f t="shared" ca="1" si="4"/>
        <v>10714.515496824024</v>
      </c>
      <c r="N30" s="59">
        <f t="shared" ca="1" si="4"/>
        <v>12061.068463390213</v>
      </c>
      <c r="O30" s="59">
        <f t="shared" ca="1" si="4"/>
        <v>13117.731185098786</v>
      </c>
      <c r="P30" s="295"/>
      <c r="Q30" s="57"/>
      <c r="R30" s="57"/>
      <c r="S30" s="67"/>
      <c r="T30" s="57"/>
    </row>
    <row r="31" spans="1:23" ht="15.75" customHeight="1" x14ac:dyDescent="0.25">
      <c r="B31" s="190"/>
      <c r="C31" s="56"/>
      <c r="D31" s="56"/>
      <c r="E31" s="56"/>
      <c r="F31" s="191"/>
      <c r="G31" s="191"/>
      <c r="H31" s="191"/>
      <c r="I31" s="191"/>
      <c r="J31" s="192"/>
      <c r="K31" s="196"/>
      <c r="L31" s="191"/>
      <c r="M31" s="191"/>
      <c r="N31" s="191"/>
      <c r="O31" s="191"/>
      <c r="P31" s="295"/>
      <c r="Q31" s="57"/>
      <c r="R31" s="57"/>
      <c r="S31" s="67"/>
      <c r="T31" s="57"/>
    </row>
    <row r="32" spans="1:23" ht="15.75" customHeight="1" x14ac:dyDescent="0.25">
      <c r="B32" s="61" t="s">
        <v>27</v>
      </c>
      <c r="F32" s="51">
        <v>2E-3</v>
      </c>
      <c r="G32" s="51">
        <v>2E-3</v>
      </c>
      <c r="H32" s="51">
        <v>2E-3</v>
      </c>
      <c r="I32" s="51">
        <v>2E-3</v>
      </c>
      <c r="J32" s="52">
        <v>2E-3</v>
      </c>
      <c r="K32" s="197">
        <f>J32</f>
        <v>2E-3</v>
      </c>
      <c r="L32" s="298">
        <f t="shared" ref="L32:O32" si="5">K32</f>
        <v>2E-3</v>
      </c>
      <c r="M32" s="298">
        <f t="shared" si="5"/>
        <v>2E-3</v>
      </c>
      <c r="N32" s="298">
        <f t="shared" si="5"/>
        <v>2E-3</v>
      </c>
      <c r="O32" s="298">
        <f t="shared" si="5"/>
        <v>2E-3</v>
      </c>
      <c r="P32" s="295"/>
      <c r="Q32" s="57"/>
      <c r="R32" s="57"/>
      <c r="S32" s="67"/>
      <c r="T32" s="57"/>
    </row>
    <row r="33" spans="1:20" ht="15.75" customHeight="1" x14ac:dyDescent="0.25">
      <c r="B33" s="61" t="s">
        <v>162</v>
      </c>
      <c r="F33" s="51">
        <v>-554.44000000000005</v>
      </c>
      <c r="G33" s="51">
        <v>-586.77300000000002</v>
      </c>
      <c r="H33" s="51">
        <v>-857.81700000000001</v>
      </c>
      <c r="I33" s="51">
        <v>-980.26499999999999</v>
      </c>
      <c r="J33" s="52">
        <v>-1188.0609999999999</v>
      </c>
      <c r="K33" s="166">
        <f>J33+'Cash Flow Statement'!K24</f>
        <v>-1328.1258659961343</v>
      </c>
      <c r="L33" s="296">
        <f ca="1">K33+'Cash Flow Statement'!L24</f>
        <v>-1490.8112661597772</v>
      </c>
      <c r="M33" s="296">
        <f ca="1">L33+'Cash Flow Statement'!M24</f>
        <v>-1671.9092379298993</v>
      </c>
      <c r="N33" s="296">
        <f ca="1">M33+'Cash Flow Statement'!N24</f>
        <v>-1872.503200353995</v>
      </c>
      <c r="O33" s="296">
        <f ca="1">N33+'Cash Flow Statement'!O24</f>
        <v>-2087.3767166964976</v>
      </c>
      <c r="P33" s="295"/>
      <c r="Q33" s="57"/>
      <c r="R33" s="57"/>
      <c r="S33" s="67"/>
      <c r="T33" s="57"/>
    </row>
    <row r="34" spans="1:20" ht="15.75" customHeight="1" x14ac:dyDescent="0.25">
      <c r="B34" s="61" t="s">
        <v>28</v>
      </c>
      <c r="F34" s="51">
        <v>2477.2910000000002</v>
      </c>
      <c r="G34" s="51">
        <v>2854.2710000000002</v>
      </c>
      <c r="H34" s="51">
        <v>3264.9670000000001</v>
      </c>
      <c r="I34" s="51">
        <v>3714.8429999999998</v>
      </c>
      <c r="J34" s="52">
        <v>4163.2120000000004</v>
      </c>
      <c r="K34" s="166">
        <f ca="1">J34+'Income Statement'!K30+'Cash Flow Statement'!K25</f>
        <v>4804.4732733189521</v>
      </c>
      <c r="L34" s="296">
        <f ca="1">K34+'Income Statement'!L30+'Cash Flow Statement'!L25</f>
        <v>5608.2023040002414</v>
      </c>
      <c r="M34" s="296">
        <f ca="1">L34+'Income Statement'!M30+'Cash Flow Statement'!M25</f>
        <v>6585.0434461601644</v>
      </c>
      <c r="N34" s="296">
        <f ca="1">M34+'Income Statement'!N30+'Cash Flow Statement'!N25</f>
        <v>7757.7898895287863</v>
      </c>
      <c r="O34" s="296">
        <f ca="1">N34+'Income Statement'!O30+'Cash Flow Statement'!O25</f>
        <v>9111.2352679033174</v>
      </c>
      <c r="P34" s="295"/>
      <c r="S34" s="67"/>
      <c r="T34" s="57"/>
    </row>
    <row r="35" spans="1:20" ht="15.75" customHeight="1" x14ac:dyDescent="0.25">
      <c r="B35" s="61" t="s">
        <v>11</v>
      </c>
      <c r="F35" s="51">
        <v>1.294</v>
      </c>
      <c r="G35" s="51">
        <v>3.5390000000000001</v>
      </c>
      <c r="H35" s="51">
        <v>4.7910000000000004</v>
      </c>
      <c r="I35" s="51">
        <v>4.62</v>
      </c>
      <c r="J35" s="52">
        <v>15.355</v>
      </c>
      <c r="K35" s="166">
        <f>J35+'Cash Flow Statement'!K26</f>
        <v>23.410200000000003</v>
      </c>
      <c r="L35" s="296">
        <f>K35+'Cash Flow Statement'!L26</f>
        <v>31.465400000000002</v>
      </c>
      <c r="M35" s="296">
        <f>L35+'Cash Flow Statement'!M26</f>
        <v>39.520600000000002</v>
      </c>
      <c r="N35" s="296">
        <f>M35+'Cash Flow Statement'!N26</f>
        <v>47.575800000000001</v>
      </c>
      <c r="O35" s="296">
        <f>N35+'Cash Flow Statement'!O26</f>
        <v>55.631</v>
      </c>
      <c r="P35" s="295"/>
    </row>
    <row r="36" spans="1:20" ht="15.75" customHeight="1" x14ac:dyDescent="0.25">
      <c r="B36" s="61" t="s">
        <v>29</v>
      </c>
      <c r="F36" s="51">
        <v>1681.306</v>
      </c>
      <c r="G36" s="51">
        <v>1782.7919999999999</v>
      </c>
      <c r="H36" s="51">
        <v>1937.029</v>
      </c>
      <c r="I36" s="51">
        <v>2377.721</v>
      </c>
      <c r="J36" s="52">
        <v>2408.3110000000001</v>
      </c>
      <c r="K36" s="166">
        <f>J36+'Equity Schedule'!K10</f>
        <v>2524.0797720072619</v>
      </c>
      <c r="L36" s="296">
        <f ca="1">K36+'Equity Schedule'!L10</f>
        <v>2658.5452488883429</v>
      </c>
      <c r="M36" s="296">
        <f ca="1">L36+'Equity Schedule'!M10</f>
        <v>2808.2293945570464</v>
      </c>
      <c r="N36" s="296">
        <f ca="1">M36+'Equity Schedule'!N10</f>
        <v>2974.0276947713865</v>
      </c>
      <c r="O36" s="296">
        <f ca="1">N36+'Equity Schedule'!O10</f>
        <v>3151.6285723857654</v>
      </c>
      <c r="P36" s="295"/>
    </row>
    <row r="37" spans="1:20" ht="15.75" customHeight="1" x14ac:dyDescent="0.25">
      <c r="B37" s="62" t="s">
        <v>30</v>
      </c>
      <c r="C37" s="58"/>
      <c r="D37" s="58"/>
      <c r="E37" s="58"/>
      <c r="F37" s="59">
        <f>SUM(F32:F36)</f>
        <v>3605.4530000000004</v>
      </c>
      <c r="G37" s="59">
        <f t="shared" ref="G37:J37" si="6">SUM(G32:G36)</f>
        <v>4053.8310000000001</v>
      </c>
      <c r="H37" s="59">
        <f t="shared" si="6"/>
        <v>4348.9719999999998</v>
      </c>
      <c r="I37" s="59">
        <f t="shared" si="6"/>
        <v>5116.9210000000003</v>
      </c>
      <c r="J37" s="60">
        <f t="shared" si="6"/>
        <v>5398.8190000000004</v>
      </c>
      <c r="K37" s="195">
        <f ca="1">SUM(K32:K36)</f>
        <v>6023.8393793300793</v>
      </c>
      <c r="L37" s="59">
        <f t="shared" ref="L37:O37" ca="1" si="7">SUM(L32:L36)</f>
        <v>6807.4036867288069</v>
      </c>
      <c r="M37" s="59">
        <f t="shared" ca="1" si="7"/>
        <v>7760.886202787311</v>
      </c>
      <c r="N37" s="59">
        <f t="shared" ca="1" si="7"/>
        <v>8906.8921839461764</v>
      </c>
      <c r="O37" s="59">
        <f t="shared" ca="1" si="7"/>
        <v>10231.120123592586</v>
      </c>
      <c r="P37" s="295"/>
    </row>
    <row r="38" spans="1:20" ht="15.75" customHeight="1" x14ac:dyDescent="0.25">
      <c r="J38" s="55"/>
      <c r="K38" s="66"/>
      <c r="P38" s="295"/>
    </row>
    <row r="39" spans="1:20" ht="15.75" customHeight="1" x14ac:dyDescent="0.25">
      <c r="B39" s="58" t="s">
        <v>31</v>
      </c>
      <c r="C39" s="58"/>
      <c r="D39" s="58"/>
      <c r="E39" s="58"/>
      <c r="F39" s="59">
        <f>SUM(F30+F37)</f>
        <v>7075.7870000000003</v>
      </c>
      <c r="G39" s="59">
        <f t="shared" ref="G39:O39" si="8">SUM(G30+G37)</f>
        <v>8331.6820000000007</v>
      </c>
      <c r="H39" s="59">
        <f t="shared" si="8"/>
        <v>8398.2720000000008</v>
      </c>
      <c r="I39" s="59">
        <f t="shared" si="8"/>
        <v>12855.189</v>
      </c>
      <c r="J39" s="59">
        <f t="shared" si="8"/>
        <v>13464.337</v>
      </c>
      <c r="K39" s="297">
        <f t="shared" ca="1" si="8"/>
        <v>14034.261359835049</v>
      </c>
      <c r="L39" s="59">
        <f t="shared" ca="1" si="8"/>
        <v>16282.285727428996</v>
      </c>
      <c r="M39" s="59">
        <f t="shared" ca="1" si="8"/>
        <v>18475.401699611335</v>
      </c>
      <c r="N39" s="59">
        <f t="shared" ca="1" si="8"/>
        <v>20967.960647336389</v>
      </c>
      <c r="O39" s="59">
        <f t="shared" ca="1" si="8"/>
        <v>23348.851308691374</v>
      </c>
      <c r="P39" s="295"/>
    </row>
    <row r="40" spans="1:20" ht="15.75" customHeight="1" x14ac:dyDescent="0.25">
      <c r="J40" s="55"/>
      <c r="K40" s="66"/>
      <c r="P40" s="295"/>
    </row>
    <row r="41" spans="1:20" ht="15.75" customHeight="1" x14ac:dyDescent="0.25">
      <c r="A41" s="54" t="s">
        <v>213</v>
      </c>
      <c r="B41" s="300" t="s">
        <v>33</v>
      </c>
      <c r="C41" s="301"/>
      <c r="D41" s="301"/>
      <c r="E41" s="301"/>
      <c r="F41" s="302">
        <f t="shared" ref="F41:O41" si="9">F18-F39</f>
        <v>0</v>
      </c>
      <c r="G41" s="302">
        <f t="shared" si="9"/>
        <v>0</v>
      </c>
      <c r="H41" s="302">
        <f t="shared" si="9"/>
        <v>0</v>
      </c>
      <c r="I41" s="302">
        <f t="shared" si="9"/>
        <v>0</v>
      </c>
      <c r="J41" s="303">
        <f t="shared" si="9"/>
        <v>0</v>
      </c>
      <c r="K41" s="304">
        <f ca="1">K18-K39</f>
        <v>0</v>
      </c>
      <c r="L41" s="305">
        <f t="shared" ca="1" si="9"/>
        <v>0</v>
      </c>
      <c r="M41" s="305">
        <f t="shared" ca="1" si="9"/>
        <v>0</v>
      </c>
      <c r="N41" s="305">
        <f t="shared" ca="1" si="9"/>
        <v>0</v>
      </c>
      <c r="O41" s="306">
        <f t="shared" ca="1" si="9"/>
        <v>0</v>
      </c>
    </row>
    <row r="47" spans="1:20" ht="15.75" customHeight="1" x14ac:dyDescent="0.25">
      <c r="G47" s="295"/>
      <c r="H47" s="295"/>
      <c r="I47" s="295"/>
      <c r="J47" s="295"/>
      <c r="K47" s="295"/>
      <c r="L47" s="295"/>
      <c r="M47" s="295"/>
      <c r="N47" s="295"/>
      <c r="O47" s="295"/>
      <c r="P47" s="295"/>
      <c r="Q47" s="295"/>
    </row>
    <row r="48" spans="1:20" ht="15.75" customHeight="1" x14ac:dyDescent="0.25">
      <c r="G48" s="295"/>
      <c r="H48" s="295"/>
      <c r="I48" s="295"/>
      <c r="J48" s="295"/>
      <c r="K48" s="295"/>
      <c r="L48" s="295"/>
      <c r="M48" s="295"/>
      <c r="N48" s="295"/>
      <c r="O48" s="295"/>
      <c r="P48" s="295"/>
      <c r="Q48" s="295"/>
    </row>
    <row r="49" spans="7:17" ht="15.75" customHeight="1" x14ac:dyDescent="0.25">
      <c r="G49" s="295"/>
      <c r="H49" s="295"/>
      <c r="I49" s="295"/>
      <c r="J49" s="295"/>
      <c r="K49" s="295"/>
      <c r="L49" s="295"/>
      <c r="M49" s="295"/>
      <c r="N49" s="295"/>
      <c r="O49" s="295"/>
      <c r="P49" s="295"/>
      <c r="Q49" s="295"/>
    </row>
    <row r="50" spans="7:17" ht="15.75" customHeight="1" x14ac:dyDescent="0.25">
      <c r="G50" s="295"/>
      <c r="H50" s="295"/>
      <c r="I50" s="295"/>
      <c r="J50" s="295"/>
      <c r="K50" s="295"/>
      <c r="L50" s="295"/>
      <c r="M50" s="295"/>
      <c r="N50" s="295"/>
      <c r="O50" s="295"/>
      <c r="P50" s="295"/>
      <c r="Q50" s="295"/>
    </row>
    <row r="51" spans="7:17" ht="15.75" customHeight="1" x14ac:dyDescent="0.25">
      <c r="G51" s="295"/>
      <c r="H51" s="295"/>
      <c r="I51" s="295"/>
      <c r="J51" s="295"/>
      <c r="K51" s="295"/>
      <c r="L51" s="295"/>
      <c r="M51" s="295"/>
      <c r="N51" s="295"/>
      <c r="O51" s="295"/>
      <c r="P51" s="295"/>
      <c r="Q51" s="295"/>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C8A86-414B-4BFB-9BC9-047A6237C33E}">
  <sheetPr>
    <tabColor theme="8" tint="-0.249977111117893"/>
  </sheetPr>
  <dimension ref="A1:S37"/>
  <sheetViews>
    <sheetView showGridLines="0" workbookViewId="0">
      <pane xSplit="5" ySplit="5" topLeftCell="F6" activePane="bottomRight" state="frozen"/>
      <selection pane="topRight" activeCell="F1" sqref="F1"/>
      <selection pane="bottomLeft" activeCell="A6" sqref="A6"/>
      <selection pane="bottomRight" activeCell="K27" sqref="K27"/>
    </sheetView>
  </sheetViews>
  <sheetFormatPr defaultColWidth="12.7109375" defaultRowHeight="15.75" customHeight="1" x14ac:dyDescent="0.25"/>
  <cols>
    <col min="1" max="1" width="5.7109375" style="54" customWidth="1"/>
    <col min="2" max="5" width="12.7109375" style="54"/>
    <col min="6" max="15" width="15.7109375" style="54" customWidth="1"/>
    <col min="16" max="16" width="12.7109375" style="54"/>
    <col min="17" max="17" width="12.7109375" style="66"/>
    <col min="18" max="16384" width="12.7109375" style="54"/>
  </cols>
  <sheetData>
    <row r="1" spans="1:19" s="48" customFormat="1" ht="15.75" customHeight="1" x14ac:dyDescent="0.25">
      <c r="Q1" s="64"/>
    </row>
    <row r="2" spans="1:19" s="48" customFormat="1" ht="15.75" customHeight="1" x14ac:dyDescent="0.25">
      <c r="B2" s="8" t="s">
        <v>34</v>
      </c>
      <c r="Q2" s="64"/>
    </row>
    <row r="3" spans="1:19" s="48" customFormat="1" ht="15.75" customHeight="1" x14ac:dyDescent="0.25">
      <c r="B3" s="18"/>
      <c r="Q3" s="64"/>
    </row>
    <row r="4" spans="1:19" s="48" customFormat="1" ht="15.75" customHeight="1" thickBot="1" x14ac:dyDescent="0.3">
      <c r="B4" s="49" t="s">
        <v>5</v>
      </c>
      <c r="C4" s="49"/>
      <c r="D4" s="49"/>
      <c r="E4" s="49"/>
      <c r="F4" s="293">
        <v>2018</v>
      </c>
      <c r="G4" s="293">
        <v>2019</v>
      </c>
      <c r="H4" s="293">
        <v>2020</v>
      </c>
      <c r="I4" s="293">
        <v>2021</v>
      </c>
      <c r="J4" s="293">
        <v>2022</v>
      </c>
      <c r="K4" s="294">
        <f>J4+1</f>
        <v>2023</v>
      </c>
      <c r="L4" s="294">
        <f t="shared" ref="L4:O4" si="0">K4+1</f>
        <v>2024</v>
      </c>
      <c r="M4" s="294">
        <f t="shared" si="0"/>
        <v>2025</v>
      </c>
      <c r="N4" s="294">
        <f t="shared" si="0"/>
        <v>2026</v>
      </c>
      <c r="O4" s="294">
        <f t="shared" si="0"/>
        <v>2027</v>
      </c>
      <c r="Q4" s="64"/>
    </row>
    <row r="5" spans="1:19" s="50" customFormat="1" ht="15.75" customHeight="1" x14ac:dyDescent="0.25">
      <c r="B5" s="50" t="s">
        <v>4</v>
      </c>
      <c r="J5" s="53"/>
      <c r="Q5" s="73"/>
      <c r="R5" s="18"/>
      <c r="S5" s="18"/>
    </row>
    <row r="6" spans="1:19" ht="15.75" customHeight="1" x14ac:dyDescent="0.25">
      <c r="J6" s="55"/>
    </row>
    <row r="7" spans="1:19" ht="15.75" customHeight="1" x14ac:dyDescent="0.25">
      <c r="B7" s="56" t="s">
        <v>10</v>
      </c>
      <c r="F7" s="51">
        <v>296.00700000000001</v>
      </c>
      <c r="G7" s="51">
        <v>406.815</v>
      </c>
      <c r="H7" s="51">
        <v>451.959</v>
      </c>
      <c r="I7" s="51">
        <v>491.983</v>
      </c>
      <c r="J7" s="52">
        <v>511.64299999999997</v>
      </c>
      <c r="K7" s="166">
        <f ca="1">'Income Statement'!K30</f>
        <v>686.27296120791084</v>
      </c>
      <c r="L7" s="166">
        <f ca="1">'Income Statement'!L30</f>
        <v>856.01012490272251</v>
      </c>
      <c r="M7" s="166">
        <f ca="1">'Income Statement'!M30</f>
        <v>1035.0393585696361</v>
      </c>
      <c r="N7" s="166">
        <f ca="1">'Income Statement'!N30</f>
        <v>1237.2099529349132</v>
      </c>
      <c r="O7" s="166">
        <f ca="1">'Income Statement'!O30</f>
        <v>1422.497810506077</v>
      </c>
      <c r="P7" s="66"/>
    </row>
    <row r="8" spans="1:19" ht="15.75" customHeight="1" x14ac:dyDescent="0.25">
      <c r="B8" s="61" t="s">
        <v>164</v>
      </c>
      <c r="F8" s="51">
        <v>202.51900000000001</v>
      </c>
      <c r="G8" s="51">
        <v>218.107</v>
      </c>
      <c r="H8" s="51">
        <v>225.256</v>
      </c>
      <c r="I8" s="51">
        <v>255.529</v>
      </c>
      <c r="J8" s="52">
        <v>290.64699999999999</v>
      </c>
      <c r="K8" s="166">
        <f>PPE!K10*-1</f>
        <v>347.37538261872169</v>
      </c>
      <c r="L8" s="166">
        <f ca="1">PPE!L10*-1</f>
        <v>403.47665152433729</v>
      </c>
      <c r="M8" s="166">
        <f ca="1">PPE!M10*-1</f>
        <v>449.14173720665121</v>
      </c>
      <c r="N8" s="166">
        <f ca="1">PPE!N10*-1</f>
        <v>497.49381440167065</v>
      </c>
      <c r="O8" s="166">
        <f ca="1">PPE!O10*-1</f>
        <v>532.90858791216817</v>
      </c>
      <c r="P8" s="66"/>
      <c r="R8"/>
    </row>
    <row r="9" spans="1:19" ht="15.75" customHeight="1" x14ac:dyDescent="0.25">
      <c r="B9" s="61" t="s">
        <v>176</v>
      </c>
      <c r="F9" s="51">
        <v>43.994</v>
      </c>
      <c r="G9" s="51">
        <v>62.091000000000001</v>
      </c>
      <c r="H9" s="51">
        <v>76.703999999999994</v>
      </c>
      <c r="I9" s="51">
        <v>165.36600000000001</v>
      </c>
      <c r="J9" s="52">
        <v>353.97300000000001</v>
      </c>
      <c r="K9" s="166">
        <f>'Income Statement'!K14*-1</f>
        <v>388.05889709968295</v>
      </c>
      <c r="L9" s="166">
        <f ca="1">'Income Statement'!L14*-1</f>
        <v>450.7305705305584</v>
      </c>
      <c r="M9" s="166">
        <f ca="1">'Income Statement'!M14*-1</f>
        <v>501.74380771579524</v>
      </c>
      <c r="N9" s="166">
        <f ca="1">'Income Statement'!N14*-1</f>
        <v>555.75872842585795</v>
      </c>
      <c r="O9" s="166">
        <f ca="1">'Income Statement'!O14*-1</f>
        <v>595.32116905108512</v>
      </c>
      <c r="P9" s="66"/>
    </row>
    <row r="10" spans="1:19" ht="15.75" customHeight="1" x14ac:dyDescent="0.25">
      <c r="B10" s="61" t="s">
        <v>35</v>
      </c>
      <c r="F10" s="51">
        <v>52.484000000000002</v>
      </c>
      <c r="G10" s="51">
        <v>52.012999999999998</v>
      </c>
      <c r="H10" s="51">
        <v>91.641000000000005</v>
      </c>
      <c r="I10" s="51">
        <v>88.259</v>
      </c>
      <c r="J10" s="52">
        <v>105.6</v>
      </c>
      <c r="K10" s="166">
        <f>'Equity Schedule'!K10</f>
        <v>115.7687720072619</v>
      </c>
      <c r="L10" s="166">
        <f ca="1">'Equity Schedule'!L10</f>
        <v>134.46547688108123</v>
      </c>
      <c r="M10" s="166">
        <f ca="1">'Equity Schedule'!M10</f>
        <v>149.68414566870348</v>
      </c>
      <c r="N10" s="166">
        <f ca="1">'Equity Schedule'!N10</f>
        <v>165.79830021434009</v>
      </c>
      <c r="O10" s="166">
        <f ca="1">'Equity Schedule'!O10</f>
        <v>177.60087761437902</v>
      </c>
      <c r="P10" s="66"/>
    </row>
    <row r="11" spans="1:19" ht="15.75" customHeight="1" x14ac:dyDescent="0.25">
      <c r="B11" s="61" t="s">
        <v>37</v>
      </c>
      <c r="F11" s="51">
        <v>-400.53300000000002</v>
      </c>
      <c r="G11" s="51">
        <v>-156.80500000000001</v>
      </c>
      <c r="H11" s="51">
        <v>327.36900000000003</v>
      </c>
      <c r="I11" s="51">
        <v>-457.68200000000002</v>
      </c>
      <c r="J11" s="52">
        <v>-229.715</v>
      </c>
      <c r="K11" s="166">
        <f ca="1">NWC!K21*-1</f>
        <v>-234.40869017049226</v>
      </c>
      <c r="L11" s="166">
        <f ca="1">NWC!L21*-1</f>
        <v>-324.46548857560128</v>
      </c>
      <c r="M11" s="166">
        <f ca="1">NWC!M21*-1</f>
        <v>-286.97841374054224</v>
      </c>
      <c r="N11" s="166">
        <f ca="1">NWC!N21*-1</f>
        <v>-299.65060538488979</v>
      </c>
      <c r="O11" s="166">
        <f ca="1">NWC!O21*-1</f>
        <v>-235.45000963541952</v>
      </c>
      <c r="P11" s="66"/>
    </row>
    <row r="12" spans="1:19" ht="15.75" customHeight="1" x14ac:dyDescent="0.25">
      <c r="B12" s="61" t="s">
        <v>36</v>
      </c>
      <c r="F12" s="51">
        <v>164.31800000000001</v>
      </c>
      <c r="G12" s="51">
        <v>-55.67</v>
      </c>
      <c r="H12" s="51">
        <v>-56.951999999999998</v>
      </c>
      <c r="I12" s="51">
        <v>38.935000000000002</v>
      </c>
      <c r="J12" s="52">
        <v>98.164000000000001</v>
      </c>
      <c r="K12" s="63">
        <v>0</v>
      </c>
      <c r="L12" s="63">
        <v>0</v>
      </c>
      <c r="M12" s="63">
        <v>0</v>
      </c>
      <c r="N12" s="63">
        <v>0</v>
      </c>
      <c r="O12" s="63">
        <v>0</v>
      </c>
      <c r="P12" s="66"/>
    </row>
    <row r="13" spans="1:19" s="56" customFormat="1" ht="15.75" customHeight="1" x14ac:dyDescent="0.25">
      <c r="A13" s="64" t="s">
        <v>213</v>
      </c>
      <c r="B13" s="62" t="s">
        <v>38</v>
      </c>
      <c r="C13" s="58"/>
      <c r="D13" s="58"/>
      <c r="E13" s="58"/>
      <c r="F13" s="59">
        <f t="shared" ref="F13:K13" si="1">SUM(F7:F12)</f>
        <v>358.78899999999999</v>
      </c>
      <c r="G13" s="59">
        <f t="shared" si="1"/>
        <v>526.55100000000004</v>
      </c>
      <c r="H13" s="59">
        <f t="shared" si="1"/>
        <v>1115.9770000000001</v>
      </c>
      <c r="I13" s="59">
        <f t="shared" si="1"/>
        <v>582.38999999999987</v>
      </c>
      <c r="J13" s="60">
        <f t="shared" si="1"/>
        <v>1130.3119999999999</v>
      </c>
      <c r="K13" s="195">
        <f t="shared" ca="1" si="1"/>
        <v>1303.0673227630853</v>
      </c>
      <c r="L13" s="195">
        <f t="shared" ref="L13:O13" ca="1" si="2">SUM(L7:L12)</f>
        <v>1520.2173352630982</v>
      </c>
      <c r="M13" s="195">
        <f t="shared" ca="1" si="2"/>
        <v>1848.6306354202438</v>
      </c>
      <c r="N13" s="195">
        <f t="shared" ca="1" si="2"/>
        <v>2156.6101905918922</v>
      </c>
      <c r="O13" s="195">
        <f t="shared" ca="1" si="2"/>
        <v>2492.87843544829</v>
      </c>
      <c r="P13" s="193"/>
      <c r="Q13" s="90"/>
      <c r="R13" s="68"/>
      <c r="S13" s="68"/>
    </row>
    <row r="14" spans="1:19" s="56" customFormat="1" ht="15.75" customHeight="1" x14ac:dyDescent="0.25">
      <c r="B14" s="190"/>
      <c r="F14" s="191"/>
      <c r="G14" s="191"/>
      <c r="H14" s="191"/>
      <c r="I14" s="191"/>
      <c r="J14" s="192"/>
      <c r="K14" s="196"/>
      <c r="L14" s="196"/>
      <c r="M14" s="196"/>
      <c r="N14" s="196"/>
      <c r="O14" s="196"/>
      <c r="P14" s="193"/>
      <c r="Q14" s="90"/>
      <c r="R14" s="68"/>
      <c r="S14" s="68"/>
    </row>
    <row r="15" spans="1:19" ht="15.75" customHeight="1" x14ac:dyDescent="0.25">
      <c r="B15" s="61" t="s">
        <v>39</v>
      </c>
      <c r="F15" s="51">
        <v>-293.59500000000003</v>
      </c>
      <c r="G15" s="51">
        <v>-261.762</v>
      </c>
      <c r="H15" s="51">
        <v>-260.05200000000002</v>
      </c>
      <c r="I15" s="51">
        <v>-385.85199999999998</v>
      </c>
      <c r="J15" s="52">
        <v>-427.63</v>
      </c>
      <c r="K15" s="166">
        <f>PPE!K9*-1</f>
        <v>-468.80871186993761</v>
      </c>
      <c r="L15" s="166">
        <f ca="1">PPE!L9*-1</f>
        <v>-544.52151400243145</v>
      </c>
      <c r="M15" s="166">
        <f ca="1">PPE!M9*-1</f>
        <v>-606.14991678321655</v>
      </c>
      <c r="N15" s="166">
        <f ca="1">PPE!N9*-1</f>
        <v>-671.40461288502138</v>
      </c>
      <c r="O15" s="166">
        <f ca="1">PPE!O9*-1</f>
        <v>-719.19946301360699</v>
      </c>
      <c r="P15" s="66"/>
    </row>
    <row r="16" spans="1:19" ht="15.75" customHeight="1" x14ac:dyDescent="0.25">
      <c r="B16" s="61" t="s">
        <v>40</v>
      </c>
      <c r="F16" s="51">
        <v>-109.075</v>
      </c>
      <c r="G16" s="51">
        <v>-355.834</v>
      </c>
      <c r="H16" s="51">
        <v>-239.27099999999999</v>
      </c>
      <c r="I16" s="51">
        <v>-2512.761</v>
      </c>
      <c r="J16" s="91">
        <v>-189.56100000000001</v>
      </c>
      <c r="K16" s="166">
        <f>-('Balance Sheet'!K17-'Balance Sheet'!J17)</f>
        <v>-82.084619468127357</v>
      </c>
      <c r="L16" s="166">
        <f ca="1">-('Balance Sheet'!L17-'Balance Sheet'!K17)</f>
        <v>-150.92401558215136</v>
      </c>
      <c r="M16" s="166">
        <f ca="1">-('Balance Sheet'!M17-'Balance Sheet'!L17)</f>
        <v>-122.84852441881139</v>
      </c>
      <c r="N16" s="166">
        <f ca="1">-('Balance Sheet'!N17-'Balance Sheet'!M17)</f>
        <v>-130.07708728099806</v>
      </c>
      <c r="O16" s="166">
        <f ca="1">-('Balance Sheet'!O17-'Balance Sheet'!N17)</f>
        <v>-95.273064823702725</v>
      </c>
      <c r="P16" s="66"/>
      <c r="Q16" s="67"/>
      <c r="R16" s="57"/>
      <c r="S16" s="57"/>
    </row>
    <row r="17" spans="1:19" ht="15.75" customHeight="1" x14ac:dyDescent="0.25">
      <c r="A17" s="64" t="s">
        <v>213</v>
      </c>
      <c r="B17" s="62" t="s">
        <v>41</v>
      </c>
      <c r="C17" s="92"/>
      <c r="D17" s="92"/>
      <c r="E17" s="92"/>
      <c r="F17" s="59">
        <f>SUM(F15:F16)</f>
        <v>-402.67</v>
      </c>
      <c r="G17" s="59">
        <f t="shared" ref="G17:J17" si="3">SUM(G15:G16)</f>
        <v>-617.596</v>
      </c>
      <c r="H17" s="59">
        <f t="shared" si="3"/>
        <v>-499.32299999999998</v>
      </c>
      <c r="I17" s="59">
        <f t="shared" si="3"/>
        <v>-2898.6129999999998</v>
      </c>
      <c r="J17" s="60">
        <f t="shared" si="3"/>
        <v>-617.19100000000003</v>
      </c>
      <c r="K17" s="195">
        <f>SUM(K15:K16)</f>
        <v>-550.89333133806497</v>
      </c>
      <c r="L17" s="195">
        <f t="shared" ref="L17:O17" ca="1" si="4">SUM(L15:L16)</f>
        <v>-695.4455295845828</v>
      </c>
      <c r="M17" s="195">
        <f t="shared" ca="1" si="4"/>
        <v>-728.99844120202795</v>
      </c>
      <c r="N17" s="195">
        <f t="shared" ca="1" si="4"/>
        <v>-801.48170016601944</v>
      </c>
      <c r="O17" s="195">
        <f t="shared" ca="1" si="4"/>
        <v>-814.47252783730971</v>
      </c>
      <c r="P17" s="66"/>
      <c r="Q17" s="67"/>
      <c r="R17" s="57"/>
      <c r="S17" s="57"/>
    </row>
    <row r="18" spans="1:19" ht="15.75" customHeight="1" x14ac:dyDescent="0.25">
      <c r="B18" s="190"/>
      <c r="F18" s="191"/>
      <c r="G18" s="191"/>
      <c r="H18" s="191"/>
      <c r="I18" s="191"/>
      <c r="J18" s="192"/>
      <c r="K18" s="196"/>
      <c r="L18" s="196"/>
      <c r="M18" s="196"/>
      <c r="N18" s="196"/>
      <c r="O18" s="196"/>
      <c r="P18" s="66"/>
      <c r="Q18" s="67"/>
      <c r="R18" s="57"/>
      <c r="S18" s="57"/>
    </row>
    <row r="19" spans="1:19" ht="15.75" customHeight="1" x14ac:dyDescent="0.25">
      <c r="B19" s="61" t="s">
        <v>190</v>
      </c>
      <c r="F19" s="51">
        <v>4491.7820000000002</v>
      </c>
      <c r="G19" s="51">
        <v>6175.558</v>
      </c>
      <c r="H19" s="51">
        <v>2983.529</v>
      </c>
      <c r="I19" s="51">
        <v>5316.0020000000004</v>
      </c>
      <c r="J19" s="52">
        <v>9300.1419999999998</v>
      </c>
      <c r="K19" s="197">
        <f ca="1">'Debt Schedule'!K16</f>
        <v>0</v>
      </c>
      <c r="L19" s="197">
        <f ca="1">'Debt Schedule'!L16</f>
        <v>0</v>
      </c>
      <c r="M19" s="197">
        <f ca="1">'Debt Schedule'!M16</f>
        <v>0</v>
      </c>
      <c r="N19" s="197">
        <f ca="1">'Debt Schedule'!N16</f>
        <v>0</v>
      </c>
      <c r="O19" s="197">
        <f ca="1">'Debt Schedule'!O16</f>
        <v>0</v>
      </c>
      <c r="P19" s="66"/>
      <c r="Q19" s="67"/>
      <c r="R19" s="57"/>
      <c r="S19" s="57"/>
    </row>
    <row r="20" spans="1:19" ht="15.75" customHeight="1" x14ac:dyDescent="0.25">
      <c r="B20" s="61" t="s">
        <v>191</v>
      </c>
      <c r="F20" s="51">
        <v>-4076.46</v>
      </c>
      <c r="G20" s="51">
        <v>-5903.0690000000004</v>
      </c>
      <c r="H20" s="51">
        <v>-4187.6450000000004</v>
      </c>
      <c r="I20" s="51">
        <v>-4265.4780000000001</v>
      </c>
      <c r="J20" s="52">
        <v>-9323.5069999999996</v>
      </c>
      <c r="K20" s="197">
        <f ca="1">'Debt Schedule'!K15</f>
        <v>-786.91</v>
      </c>
      <c r="L20" s="197">
        <f ca="1">'Debt Schedule'!L15</f>
        <v>0</v>
      </c>
      <c r="M20" s="197">
        <f ca="1">'Debt Schedule'!M15</f>
        <v>0</v>
      </c>
      <c r="N20" s="197">
        <f ca="1">'Debt Schedule'!N15</f>
        <v>0</v>
      </c>
      <c r="O20" s="197">
        <f ca="1">'Debt Schedule'!O15</f>
        <v>0</v>
      </c>
      <c r="P20" s="66"/>
      <c r="Q20" s="67"/>
      <c r="R20" s="57"/>
    </row>
    <row r="21" spans="1:19" ht="15.75" customHeight="1" x14ac:dyDescent="0.25">
      <c r="B21" s="61" t="s">
        <v>208</v>
      </c>
      <c r="F21" s="51">
        <v>33.79</v>
      </c>
      <c r="G21" s="51">
        <v>-28.292000000000002</v>
      </c>
      <c r="H21" s="51">
        <v>-4.8460000000000001</v>
      </c>
      <c r="I21" s="51">
        <v>11.391</v>
      </c>
      <c r="J21" s="52">
        <v>-15.657</v>
      </c>
      <c r="K21" s="197">
        <f>'Debt Schedule'!K23-'Debt Schedule'!J23</f>
        <v>0</v>
      </c>
      <c r="L21" s="197">
        <f>'Debt Schedule'!L23-'Debt Schedule'!K23</f>
        <v>0</v>
      </c>
      <c r="M21" s="197">
        <f>'Debt Schedule'!M23-'Debt Schedule'!L23</f>
        <v>0</v>
      </c>
      <c r="N21" s="197">
        <f>'Debt Schedule'!N23-'Debt Schedule'!M23</f>
        <v>0</v>
      </c>
      <c r="O21" s="197">
        <f>'Debt Schedule'!O23-'Debt Schedule'!N23</f>
        <v>0</v>
      </c>
      <c r="P21" s="66"/>
      <c r="Q21" s="67"/>
      <c r="R21" s="57"/>
      <c r="S21" s="57"/>
    </row>
    <row r="22" spans="1:19" ht="15.75" customHeight="1" x14ac:dyDescent="0.25">
      <c r="B22" s="61" t="s">
        <v>209</v>
      </c>
      <c r="F22" s="51">
        <v>-1.298</v>
      </c>
      <c r="G22" s="51">
        <v>-2.2029999999999998</v>
      </c>
      <c r="H22" s="51">
        <v>987.16</v>
      </c>
      <c r="I22" s="51">
        <v>1483.8150000000001</v>
      </c>
      <c r="J22" s="52">
        <v>-8.9540000000000006</v>
      </c>
      <c r="K22" s="197">
        <f ca="1">'Debt Schedule'!K28-'Debt Schedule'!J28</f>
        <v>296.2503793548035</v>
      </c>
      <c r="L22" s="197">
        <f ca="1">'Debt Schedule'!L28-'Debt Schedule'!K28</f>
        <v>699.69741051040319</v>
      </c>
      <c r="M22" s="197">
        <f ca="1">'Debt Schedule'!M28-'Debt Schedule'!L28</f>
        <v>640.00632186989287</v>
      </c>
      <c r="N22" s="197">
        <f ca="1">'Debt Schedule'!N28-'Debt Schedule'!M28</f>
        <v>707.42902992136806</v>
      </c>
      <c r="O22" s="197">
        <f ca="1">'Debt Schedule'!O28-'Debt Schedule'!N28</f>
        <v>604.52101425374985</v>
      </c>
      <c r="P22" s="66"/>
      <c r="Q22" s="67"/>
      <c r="R22" s="57"/>
      <c r="S22" s="57"/>
    </row>
    <row r="23" spans="1:19" ht="15.75" customHeight="1" x14ac:dyDescent="0.25">
      <c r="B23" s="61" t="s">
        <v>42</v>
      </c>
      <c r="F23" s="51">
        <v>0</v>
      </c>
      <c r="G23" s="51">
        <v>0</v>
      </c>
      <c r="H23" s="51">
        <v>0</v>
      </c>
      <c r="I23" s="51">
        <v>0</v>
      </c>
      <c r="J23" s="52">
        <v>0</v>
      </c>
      <c r="K23" s="63">
        <v>0</v>
      </c>
      <c r="L23" s="63">
        <v>0</v>
      </c>
      <c r="M23" s="63">
        <v>0</v>
      </c>
      <c r="N23" s="63">
        <v>0</v>
      </c>
      <c r="O23" s="63">
        <v>0</v>
      </c>
      <c r="P23" s="66"/>
      <c r="Q23" s="67"/>
    </row>
    <row r="24" spans="1:19" ht="15.75" customHeight="1" x14ac:dyDescent="0.25">
      <c r="B24" s="61" t="s">
        <v>43</v>
      </c>
      <c r="F24" s="51">
        <v>-443.15199999999999</v>
      </c>
      <c r="G24" s="51">
        <v>-20.091999999999999</v>
      </c>
      <c r="H24" s="51">
        <v>-247.249</v>
      </c>
      <c r="I24" s="51">
        <v>-66.686999999999998</v>
      </c>
      <c r="J24" s="52">
        <v>-127.762</v>
      </c>
      <c r="K24" s="166">
        <f>'Equity Schedule'!K12</f>
        <v>-140.06486599613444</v>
      </c>
      <c r="L24" s="166">
        <f ca="1">'Equity Schedule'!L12</f>
        <v>-162.68540016364298</v>
      </c>
      <c r="M24" s="166">
        <f ca="1">'Equity Schedule'!M12</f>
        <v>-181.09797177012211</v>
      </c>
      <c r="N24" s="166">
        <f ca="1">'Equity Schedule'!N12</f>
        <v>-200.59396242409582</v>
      </c>
      <c r="O24" s="166">
        <f ca="1">'Equity Schedule'!O12</f>
        <v>-214.8735163425028</v>
      </c>
      <c r="P24" s="66"/>
      <c r="Q24" s="67"/>
    </row>
    <row r="25" spans="1:19" ht="15.75" customHeight="1" x14ac:dyDescent="0.25">
      <c r="B25" s="61" t="s">
        <v>44</v>
      </c>
      <c r="F25" s="51">
        <v>0</v>
      </c>
      <c r="G25" s="51">
        <v>-23.236000000000001</v>
      </c>
      <c r="H25" s="51">
        <v>-28.890999999999998</v>
      </c>
      <c r="I25" s="51">
        <v>-34.021999999999998</v>
      </c>
      <c r="J25" s="52">
        <v>-41.058</v>
      </c>
      <c r="K25" s="166">
        <f>'Equity Schedule'!K11</f>
        <v>-45.011687888959841</v>
      </c>
      <c r="L25" s="166">
        <f ca="1">'Equity Schedule'!L11</f>
        <v>-52.281094221434024</v>
      </c>
      <c r="M25" s="166">
        <f ca="1">'Equity Schedule'!M11</f>
        <v>-58.198216409712387</v>
      </c>
      <c r="N25" s="166">
        <f ca="1">'Equity Schedule'!N11</f>
        <v>-64.463509566291435</v>
      </c>
      <c r="O25" s="166">
        <f ca="1">'Equity Schedule'!O11</f>
        <v>-69.052432131545203</v>
      </c>
      <c r="P25" s="66"/>
    </row>
    <row r="26" spans="1:19" ht="15.75" customHeight="1" x14ac:dyDescent="0.25">
      <c r="B26" s="61" t="s">
        <v>11</v>
      </c>
      <c r="F26" s="51">
        <v>-4.0380000000000003</v>
      </c>
      <c r="G26" s="51">
        <v>-2.5259999999999998</v>
      </c>
      <c r="H26" s="51">
        <v>-5.4039999999999999</v>
      </c>
      <c r="I26" s="51">
        <v>-6.3570000000000002</v>
      </c>
      <c r="J26" s="52">
        <v>-9.7189999999999994</v>
      </c>
      <c r="K26" s="166">
        <f>-'Income Statement'!K29</f>
        <v>8.055200000000001</v>
      </c>
      <c r="L26" s="166">
        <f>-'Income Statement'!L29</f>
        <v>8.055200000000001</v>
      </c>
      <c r="M26" s="166">
        <f>-'Income Statement'!M29</f>
        <v>8.055200000000001</v>
      </c>
      <c r="N26" s="166">
        <f>-'Income Statement'!N29</f>
        <v>8.055200000000001</v>
      </c>
      <c r="O26" s="166">
        <f>-'Income Statement'!O29</f>
        <v>8.055200000000001</v>
      </c>
      <c r="P26" s="66"/>
    </row>
    <row r="27" spans="1:19" ht="15.75" customHeight="1" x14ac:dyDescent="0.25">
      <c r="B27" s="61" t="s">
        <v>45</v>
      </c>
      <c r="F27" s="51">
        <v>-17.193999999999999</v>
      </c>
      <c r="G27" s="51">
        <v>-18.452999999999999</v>
      </c>
      <c r="H27" s="51">
        <v>-98.019000000000005</v>
      </c>
      <c r="I27" s="51">
        <v>-77.787000000000006</v>
      </c>
      <c r="J27" s="52">
        <v>-84.555999999999997</v>
      </c>
      <c r="K27" s="166">
        <f>'Balance Sheet'!K29-'Balance Sheet'!J29</f>
        <v>93.107048329976124</v>
      </c>
      <c r="L27" s="166">
        <f ca="1">'Balance Sheet'!L29-'Balance Sheet'!K29</f>
        <v>171.1902875838723</v>
      </c>
      <c r="M27" s="166">
        <f ca="1">'Balance Sheet'!M29-'Balance Sheet'!L29</f>
        <v>139.34478315721276</v>
      </c>
      <c r="N27" s="166">
        <f ca="1">'Balance Sheet'!N29-'Balance Sheet'!M29</f>
        <v>147.5440067892016</v>
      </c>
      <c r="O27" s="166">
        <f ca="1">'Balance Sheet'!O29-'Balance Sheet'!N29</f>
        <v>108.06645518445498</v>
      </c>
      <c r="P27" s="66"/>
      <c r="Q27" s="67"/>
    </row>
    <row r="28" spans="1:19" ht="15.75" customHeight="1" x14ac:dyDescent="0.25">
      <c r="A28" s="64" t="s">
        <v>213</v>
      </c>
      <c r="B28" s="58" t="s">
        <v>46</v>
      </c>
      <c r="C28" s="92"/>
      <c r="D28" s="92"/>
      <c r="E28" s="92"/>
      <c r="F28" s="59">
        <f t="shared" ref="F28:K28" si="5">SUM(F19:F27)</f>
        <v>-16.569999999999851</v>
      </c>
      <c r="G28" s="59">
        <f t="shared" si="5"/>
        <v>177.68699999999959</v>
      </c>
      <c r="H28" s="59">
        <f t="shared" si="5"/>
        <v>-601.36500000000046</v>
      </c>
      <c r="I28" s="59">
        <f t="shared" si="5"/>
        <v>2360.8770000000009</v>
      </c>
      <c r="J28" s="60">
        <f t="shared" si="5"/>
        <v>-311.07099999999974</v>
      </c>
      <c r="K28" s="195">
        <f t="shared" ca="1" si="5"/>
        <v>-574.57392620031465</v>
      </c>
      <c r="L28" s="195">
        <f t="shared" ref="L28:O28" ca="1" si="6">SUM(L19:L27)</f>
        <v>663.97640370919851</v>
      </c>
      <c r="M28" s="195">
        <f t="shared" ca="1" si="6"/>
        <v>548.11011684727112</v>
      </c>
      <c r="N28" s="195">
        <f t="shared" ca="1" si="6"/>
        <v>597.97076472018239</v>
      </c>
      <c r="O28" s="195">
        <f t="shared" ca="1" si="6"/>
        <v>436.71672096415682</v>
      </c>
      <c r="P28" s="66"/>
      <c r="Q28" s="67"/>
    </row>
    <row r="29" spans="1:19" ht="15.75" customHeight="1" x14ac:dyDescent="0.25">
      <c r="B29" s="56"/>
      <c r="F29" s="191"/>
      <c r="G29" s="191"/>
      <c r="H29" s="191"/>
      <c r="I29" s="191"/>
      <c r="J29" s="192"/>
      <c r="K29" s="196"/>
      <c r="L29" s="196"/>
      <c r="M29" s="196"/>
      <c r="N29" s="196"/>
      <c r="O29" s="196"/>
      <c r="P29" s="66"/>
      <c r="Q29" s="67"/>
    </row>
    <row r="30" spans="1:19" ht="15.75" customHeight="1" x14ac:dyDescent="0.25">
      <c r="B30" s="61" t="s">
        <v>47</v>
      </c>
      <c r="F30" s="51">
        <v>-6.8000000000000005E-2</v>
      </c>
      <c r="G30" s="51">
        <v>-0.153</v>
      </c>
      <c r="H30" s="51">
        <v>1.774</v>
      </c>
      <c r="I30" s="51">
        <v>0.42499999999999999</v>
      </c>
      <c r="J30" s="52">
        <v>-0.72299999999999998</v>
      </c>
      <c r="K30" s="63">
        <v>0</v>
      </c>
      <c r="L30" s="63">
        <v>0</v>
      </c>
      <c r="M30" s="63">
        <v>0</v>
      </c>
      <c r="N30" s="63">
        <v>0</v>
      </c>
      <c r="O30" s="63">
        <v>0</v>
      </c>
      <c r="P30" s="66"/>
      <c r="Q30" s="67"/>
    </row>
    <row r="31" spans="1:19" ht="15.75" customHeight="1" x14ac:dyDescent="0.25">
      <c r="B31" s="58" t="s">
        <v>48</v>
      </c>
      <c r="C31" s="92"/>
      <c r="D31" s="92"/>
      <c r="E31" s="92"/>
      <c r="F31" s="59">
        <f t="shared" ref="F31:K31" si="7">SUM(F30,F28,F17,F13)</f>
        <v>-60.518999999999892</v>
      </c>
      <c r="G31" s="59">
        <f t="shared" si="7"/>
        <v>86.488999999999635</v>
      </c>
      <c r="H31" s="59">
        <f t="shared" si="7"/>
        <v>17.062999999999647</v>
      </c>
      <c r="I31" s="59">
        <f t="shared" si="7"/>
        <v>45.079000000001088</v>
      </c>
      <c r="J31" s="60">
        <f t="shared" si="7"/>
        <v>201.32700000000011</v>
      </c>
      <c r="K31" s="195">
        <f t="shared" ca="1" si="7"/>
        <v>177.60006522470553</v>
      </c>
      <c r="L31" s="195">
        <f t="shared" ref="L31:O31" ca="1" si="8">SUM(L30,L28,L17,L13)</f>
        <v>1488.7482093877138</v>
      </c>
      <c r="M31" s="195">
        <f t="shared" ca="1" si="8"/>
        <v>1667.742311065487</v>
      </c>
      <c r="N31" s="195">
        <f t="shared" ca="1" si="8"/>
        <v>1953.0992551460552</v>
      </c>
      <c r="O31" s="195">
        <f t="shared" ca="1" si="8"/>
        <v>2115.1226285751372</v>
      </c>
      <c r="P31" s="66"/>
      <c r="Q31" s="67"/>
    </row>
    <row r="32" spans="1:19" ht="15.75" customHeight="1" x14ac:dyDescent="0.25">
      <c r="P32" s="66"/>
      <c r="Q32" s="67"/>
    </row>
    <row r="33" spans="6:17" ht="15.75" customHeight="1" x14ac:dyDescent="0.25">
      <c r="Q33" s="67"/>
    </row>
    <row r="34" spans="6:17" ht="15.75" customHeight="1" x14ac:dyDescent="0.25">
      <c r="F34"/>
      <c r="G34"/>
      <c r="H34"/>
      <c r="I34"/>
      <c r="J34"/>
      <c r="Q34" s="67"/>
    </row>
    <row r="35" spans="6:17" ht="15.75" customHeight="1" x14ac:dyDescent="0.25">
      <c r="F35"/>
      <c r="G35"/>
      <c r="H35"/>
      <c r="I35"/>
      <c r="J35"/>
      <c r="Q35" s="67"/>
    </row>
    <row r="36" spans="6:17" ht="15.75" customHeight="1" x14ac:dyDescent="0.25">
      <c r="F36"/>
      <c r="G36"/>
      <c r="H36"/>
      <c r="I36"/>
      <c r="J36"/>
      <c r="Q36" s="67"/>
    </row>
    <row r="37" spans="6:17" ht="15.75" customHeight="1" x14ac:dyDescent="0.25">
      <c r="Q37" s="6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6694C-12BE-41FE-870D-A4B7838982E5}">
  <sheetPr>
    <tabColor theme="1"/>
  </sheetPr>
  <dimension ref="A1"/>
  <sheetViews>
    <sheetView showGridLines="0" workbookViewId="0">
      <selection activeCell="M27" sqref="M27"/>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18848-6AE7-4704-8D1B-073C333EF07D}">
  <sheetPr>
    <tabColor theme="4" tint="-0.249977111117893"/>
  </sheetPr>
  <dimension ref="A1:Y53"/>
  <sheetViews>
    <sheetView showGridLines="0" zoomScaleNormal="114" workbookViewId="0">
      <pane xSplit="5" ySplit="4" topLeftCell="F29" activePane="bottomRight" state="frozen"/>
      <selection pane="topRight" activeCell="F1" sqref="F1"/>
      <selection pane="bottomLeft" activeCell="A5" sqref="A5"/>
      <selection pane="bottomRight" activeCell="G38" sqref="G38:I38"/>
    </sheetView>
  </sheetViews>
  <sheetFormatPr defaultColWidth="12.7109375" defaultRowHeight="15.75" x14ac:dyDescent="0.25"/>
  <cols>
    <col min="1" max="1" width="5.7109375" style="1" customWidth="1"/>
    <col min="2" max="14" width="12.7109375" style="1"/>
    <col min="15" max="15" width="2.7109375" style="1" customWidth="1"/>
    <col min="16" max="16" width="12.7109375" style="1"/>
    <col min="17" max="17" width="2.7109375" style="1" customWidth="1"/>
    <col min="18" max="16384" width="12.7109375" style="1"/>
  </cols>
  <sheetData>
    <row r="1" spans="1:25" s="6" customFormat="1" x14ac:dyDescent="0.25"/>
    <row r="2" spans="1:25" s="6" customFormat="1" ht="18.75" x14ac:dyDescent="0.25">
      <c r="B2" s="8" t="s">
        <v>49</v>
      </c>
    </row>
    <row r="3" spans="1:25" s="6" customFormat="1" x14ac:dyDescent="0.25">
      <c r="B3" s="18"/>
    </row>
    <row r="4" spans="1:25" s="6" customFormat="1" ht="16.5" thickBot="1" x14ac:dyDescent="0.3">
      <c r="B4" s="10" t="s">
        <v>5</v>
      </c>
      <c r="C4" s="10"/>
      <c r="D4" s="10"/>
      <c r="E4" s="10"/>
      <c r="F4" s="11">
        <v>2019</v>
      </c>
      <c r="G4" s="11">
        <v>2020</v>
      </c>
      <c r="H4" s="11">
        <v>2021</v>
      </c>
      <c r="I4" s="11">
        <v>2022</v>
      </c>
      <c r="J4" s="12">
        <f>I4+1</f>
        <v>2023</v>
      </c>
      <c r="K4" s="12">
        <f t="shared" ref="K4:N4" si="0">J4+1</f>
        <v>2024</v>
      </c>
      <c r="L4" s="12">
        <f t="shared" si="0"/>
        <v>2025</v>
      </c>
      <c r="M4" s="12">
        <f t="shared" si="0"/>
        <v>2026</v>
      </c>
      <c r="N4" s="12">
        <f t="shared" si="0"/>
        <v>2027</v>
      </c>
      <c r="P4" s="194" t="s">
        <v>76</v>
      </c>
      <c r="R4" s="252" t="s">
        <v>304</v>
      </c>
      <c r="S4" s="253"/>
      <c r="T4" s="253"/>
      <c r="U4" s="253"/>
      <c r="V4" s="253"/>
      <c r="W4" s="253"/>
      <c r="X4" s="253"/>
      <c r="Y4" s="253"/>
    </row>
    <row r="5" spans="1:25" s="9" customFormat="1" x14ac:dyDescent="0.25">
      <c r="B5" s="9" t="s">
        <v>4</v>
      </c>
      <c r="I5" s="17"/>
    </row>
    <row r="6" spans="1:25" x14ac:dyDescent="0.25">
      <c r="I6" s="82"/>
    </row>
    <row r="7" spans="1:25" x14ac:dyDescent="0.25">
      <c r="B7" s="19" t="s">
        <v>299</v>
      </c>
      <c r="G7" s="126">
        <f>SUM(G12,G25,G38)</f>
        <v>11202.7</v>
      </c>
      <c r="H7" s="126">
        <f t="shared" ref="H7:N7" si="1">SUM(H12,H25,H38)</f>
        <v>12980.2</v>
      </c>
      <c r="I7" s="168">
        <f t="shared" si="1"/>
        <v>17074</v>
      </c>
      <c r="J7" s="126">
        <f t="shared" si="1"/>
        <v>18718.037724252888</v>
      </c>
      <c r="K7" s="126">
        <f t="shared" ca="1" si="1"/>
        <v>21741.008609056091</v>
      </c>
      <c r="L7" s="126">
        <f t="shared" ca="1" si="1"/>
        <v>24201.6343161488</v>
      </c>
      <c r="M7" s="126">
        <f t="shared" ca="1" si="1"/>
        <v>26807.046358186759</v>
      </c>
      <c r="N7" s="126">
        <f t="shared" ca="1" si="1"/>
        <v>28715.342396806616</v>
      </c>
    </row>
    <row r="8" spans="1:25" s="153" customFormat="1" x14ac:dyDescent="0.25">
      <c r="B8" s="153" t="s">
        <v>284</v>
      </c>
      <c r="H8" s="108">
        <f>H7/G7-1</f>
        <v>0.15866710703669651</v>
      </c>
      <c r="I8" s="109">
        <f t="shared" ref="I8:N8" si="2">I7/H7-1</f>
        <v>0.31538805257237934</v>
      </c>
      <c r="J8" s="108">
        <f t="shared" si="2"/>
        <v>9.6288961242408933E-2</v>
      </c>
      <c r="K8" s="108">
        <f t="shared" ca="1" si="2"/>
        <v>0.16150041630092193</v>
      </c>
      <c r="L8" s="108">
        <f t="shared" ca="1" si="2"/>
        <v>0.11317900431113159</v>
      </c>
      <c r="M8" s="108">
        <f t="shared" ca="1" si="2"/>
        <v>0.10765438432806462</v>
      </c>
      <c r="N8" s="108">
        <f t="shared" ca="1" si="2"/>
        <v>7.1186359478841776E-2</v>
      </c>
    </row>
    <row r="9" spans="1:25" x14ac:dyDescent="0.25">
      <c r="I9" s="82"/>
    </row>
    <row r="10" spans="1:25" ht="16.5" thickBot="1" x14ac:dyDescent="0.3">
      <c r="A10" s="1" t="s">
        <v>213</v>
      </c>
      <c r="B10" s="279" t="s">
        <v>290</v>
      </c>
      <c r="C10" s="32"/>
      <c r="D10" s="32"/>
      <c r="E10" s="32"/>
      <c r="F10" s="32"/>
      <c r="G10" s="11"/>
      <c r="H10" s="11"/>
      <c r="I10" s="96"/>
      <c r="J10" s="12"/>
      <c r="K10" s="12"/>
      <c r="L10" s="12"/>
      <c r="M10" s="12"/>
      <c r="N10" s="12"/>
    </row>
    <row r="11" spans="1:25" ht="15.75" customHeight="1" x14ac:dyDescent="0.25">
      <c r="I11" s="285"/>
      <c r="R11" s="363" t="s">
        <v>300</v>
      </c>
      <c r="S11" s="364"/>
      <c r="T11" s="364"/>
      <c r="U11" s="364"/>
      <c r="V11" s="364"/>
      <c r="W11" s="364"/>
      <c r="X11" s="364"/>
      <c r="Y11" s="365"/>
    </row>
    <row r="12" spans="1:25" x14ac:dyDescent="0.25">
      <c r="B12" s="19" t="s">
        <v>283</v>
      </c>
      <c r="G12" s="281">
        <v>6468.2</v>
      </c>
      <c r="H12" s="281">
        <v>7624.2</v>
      </c>
      <c r="I12" s="286">
        <v>8940.2999999999993</v>
      </c>
      <c r="J12" s="126">
        <f>J21*I15</f>
        <v>9240.9082859056161</v>
      </c>
      <c r="K12" s="126">
        <f t="shared" ref="K12:N12" ca="1" si="3">K21*J15</f>
        <v>10326.137598791456</v>
      </c>
      <c r="L12" s="126">
        <f t="shared" ca="1" si="3"/>
        <v>11428.762962422259</v>
      </c>
      <c r="M12" s="126">
        <f t="shared" ca="1" si="3"/>
        <v>12526.873840311153</v>
      </c>
      <c r="N12" s="126">
        <f t="shared" ca="1" si="3"/>
        <v>13595.954997055369</v>
      </c>
      <c r="R12" s="366"/>
      <c r="S12" s="367"/>
      <c r="T12" s="367"/>
      <c r="U12" s="367"/>
      <c r="V12" s="367"/>
      <c r="W12" s="367"/>
      <c r="X12" s="367"/>
      <c r="Y12" s="368"/>
    </row>
    <row r="13" spans="1:25" s="153" customFormat="1" x14ac:dyDescent="0.25">
      <c r="B13" s="153" t="s">
        <v>284</v>
      </c>
      <c r="H13" s="108">
        <f>H12/G12-1</f>
        <v>0.17872050956989582</v>
      </c>
      <c r="I13" s="109">
        <f>I12/H12-1</f>
        <v>0.17262138978515762</v>
      </c>
      <c r="J13" s="108">
        <f t="shared" ref="J13:N13" si="4">J12/I12-1</f>
        <v>3.3623959588114039E-2</v>
      </c>
      <c r="K13" s="108">
        <f t="shared" ca="1" si="4"/>
        <v>0.11743751580578388</v>
      </c>
      <c r="L13" s="108">
        <f t="shared" ca="1" si="4"/>
        <v>0.10678003784879375</v>
      </c>
      <c r="M13" s="108">
        <f t="shared" ca="1" si="4"/>
        <v>9.608309153838257E-2</v>
      </c>
      <c r="N13" s="108">
        <f t="shared" ca="1" si="4"/>
        <v>8.5343012979338884E-2</v>
      </c>
      <c r="Q13" s="6"/>
      <c r="R13" s="366"/>
      <c r="S13" s="367"/>
      <c r="T13" s="367"/>
      <c r="U13" s="367"/>
      <c r="V13" s="367"/>
      <c r="W13" s="367"/>
      <c r="X13" s="367"/>
      <c r="Y13" s="368"/>
    </row>
    <row r="14" spans="1:25" x14ac:dyDescent="0.25">
      <c r="I14" s="82"/>
      <c r="R14" s="366"/>
      <c r="S14" s="367"/>
      <c r="T14" s="367"/>
      <c r="U14" s="367"/>
      <c r="V14" s="367"/>
      <c r="W14" s="367"/>
      <c r="X14" s="367"/>
      <c r="Y14" s="368"/>
    </row>
    <row r="15" spans="1:25" x14ac:dyDescent="0.25">
      <c r="B15" s="19" t="s">
        <v>288</v>
      </c>
      <c r="F15" s="281">
        <v>9822.24</v>
      </c>
      <c r="G15" s="281">
        <v>9667.07</v>
      </c>
      <c r="H15" s="281">
        <v>12216.87</v>
      </c>
      <c r="I15" s="286">
        <v>13082.91</v>
      </c>
      <c r="J15" s="126">
        <f ca="1">I15*(1+J16)</f>
        <v>15045.346499999998</v>
      </c>
      <c r="K15" s="126">
        <f t="shared" ref="K15" ca="1" si="5">J15*(1+K16)</f>
        <v>17151.695009999996</v>
      </c>
      <c r="L15" s="126">
        <f t="shared" ref="L15" ca="1" si="6">K15*(1+L16)</f>
        <v>19381.415361299994</v>
      </c>
      <c r="M15" s="126">
        <f t="shared" ref="M15" ca="1" si="7">L15*(1+M16)</f>
        <v>21707.185204655991</v>
      </c>
      <c r="N15" s="126">
        <f t="shared" ref="N15" ca="1" si="8">M15*(1+N16)</f>
        <v>24094.975577168148</v>
      </c>
      <c r="R15" s="366"/>
      <c r="S15" s="367"/>
      <c r="T15" s="367"/>
      <c r="U15" s="367"/>
      <c r="V15" s="367"/>
      <c r="W15" s="367"/>
      <c r="X15" s="367"/>
      <c r="Y15" s="368"/>
    </row>
    <row r="16" spans="1:25" s="153" customFormat="1" x14ac:dyDescent="0.25">
      <c r="B16" s="153" t="s">
        <v>284</v>
      </c>
      <c r="H16" s="108">
        <f>H15/G15-1</f>
        <v>0.26376140857571118</v>
      </c>
      <c r="I16" s="109">
        <f>I15/H15-1</f>
        <v>7.0888861058519881E-2</v>
      </c>
      <c r="J16" s="108">
        <f ca="1">OFFSET(J16,Cover!$G$19,0)</f>
        <v>0.15</v>
      </c>
      <c r="K16" s="108">
        <f ca="1">OFFSET(K16,Cover!$G$19,0)</f>
        <v>0.13999999999999999</v>
      </c>
      <c r="L16" s="108">
        <f ca="1">OFFSET(L16,Cover!$G$19,0)</f>
        <v>0.12999999999999998</v>
      </c>
      <c r="M16" s="108">
        <f ca="1">OFFSET(M16,Cover!$G$19,0)</f>
        <v>0.11999999999999998</v>
      </c>
      <c r="N16" s="108">
        <f ca="1">OFFSET(N16,Cover!$G$19,0)</f>
        <v>0.10999999999999999</v>
      </c>
      <c r="R16" s="366"/>
      <c r="S16" s="367"/>
      <c r="T16" s="367"/>
      <c r="U16" s="367"/>
      <c r="V16" s="367"/>
      <c r="W16" s="367"/>
      <c r="X16" s="367"/>
      <c r="Y16" s="368"/>
    </row>
    <row r="17" spans="1:25" x14ac:dyDescent="0.25">
      <c r="B17" s="22" t="s">
        <v>285</v>
      </c>
      <c r="H17" s="280"/>
      <c r="I17" s="287"/>
      <c r="J17" s="288">
        <v>0.15</v>
      </c>
      <c r="K17" s="289">
        <f>J17-$P$17</f>
        <v>0.13999999999999999</v>
      </c>
      <c r="L17" s="289">
        <f t="shared" ref="L17:N17" si="9">K17-$P$17</f>
        <v>0.12999999999999998</v>
      </c>
      <c r="M17" s="289">
        <f t="shared" si="9"/>
        <v>0.11999999999999998</v>
      </c>
      <c r="N17" s="289">
        <f t="shared" si="9"/>
        <v>0.10999999999999999</v>
      </c>
      <c r="P17" s="350">
        <v>0.01</v>
      </c>
      <c r="R17" s="366"/>
      <c r="S17" s="367"/>
      <c r="T17" s="367"/>
      <c r="U17" s="367"/>
      <c r="V17" s="367"/>
      <c r="W17" s="367"/>
      <c r="X17" s="367"/>
      <c r="Y17" s="368"/>
    </row>
    <row r="18" spans="1:25" x14ac:dyDescent="0.25">
      <c r="B18" s="22" t="s">
        <v>286</v>
      </c>
      <c r="H18" s="280"/>
      <c r="I18" s="287"/>
      <c r="J18" s="288">
        <v>0.2</v>
      </c>
      <c r="K18" s="290">
        <f>J18-$P$17</f>
        <v>0.19</v>
      </c>
      <c r="L18" s="290">
        <f t="shared" ref="L18:N19" si="10">K18-$P$17</f>
        <v>0.18</v>
      </c>
      <c r="M18" s="290">
        <f t="shared" si="10"/>
        <v>0.16999999999999998</v>
      </c>
      <c r="N18" s="290">
        <f t="shared" si="10"/>
        <v>0.15999999999999998</v>
      </c>
      <c r="R18" s="366"/>
      <c r="S18" s="367"/>
      <c r="T18" s="367"/>
      <c r="U18" s="367"/>
      <c r="V18" s="367"/>
      <c r="W18" s="367"/>
      <c r="X18" s="367"/>
      <c r="Y18" s="368"/>
    </row>
    <row r="19" spans="1:25" x14ac:dyDescent="0.25">
      <c r="B19" s="22" t="s">
        <v>287</v>
      </c>
      <c r="H19" s="280"/>
      <c r="I19" s="287"/>
      <c r="J19" s="288">
        <v>0.12</v>
      </c>
      <c r="K19" s="289">
        <f>J19-$P$17</f>
        <v>0.11</v>
      </c>
      <c r="L19" s="289">
        <f t="shared" si="10"/>
        <v>0.1</v>
      </c>
      <c r="M19" s="289">
        <f t="shared" si="10"/>
        <v>9.0000000000000011E-2</v>
      </c>
      <c r="N19" s="289">
        <f t="shared" si="10"/>
        <v>8.0000000000000016E-2</v>
      </c>
      <c r="R19" s="366"/>
      <c r="S19" s="367"/>
      <c r="T19" s="367"/>
      <c r="U19" s="367"/>
      <c r="V19" s="367"/>
      <c r="W19" s="367"/>
      <c r="X19" s="367"/>
      <c r="Y19" s="368"/>
    </row>
    <row r="20" spans="1:25" x14ac:dyDescent="0.25">
      <c r="I20" s="82"/>
      <c r="R20" s="366"/>
      <c r="S20" s="367"/>
      <c r="T20" s="367"/>
      <c r="U20" s="367"/>
      <c r="V20" s="367"/>
      <c r="W20" s="367"/>
      <c r="X20" s="367"/>
      <c r="Y20" s="368"/>
    </row>
    <row r="21" spans="1:25" x14ac:dyDescent="0.25">
      <c r="B21" s="282" t="s">
        <v>289</v>
      </c>
      <c r="C21" s="159"/>
      <c r="D21" s="159"/>
      <c r="E21" s="159"/>
      <c r="F21" s="159"/>
      <c r="G21" s="283">
        <f>G12/F15</f>
        <v>0.6585259574190816</v>
      </c>
      <c r="H21" s="283">
        <f>H12/G15</f>
        <v>0.78867743794138245</v>
      </c>
      <c r="I21" s="284">
        <f>I12/H15</f>
        <v>0.73179955258589136</v>
      </c>
      <c r="J21" s="283">
        <f>AVERAGE($G$21:$I$21)-P21</f>
        <v>0.70633431598211838</v>
      </c>
      <c r="K21" s="283">
        <f>J21-$P$21</f>
        <v>0.68633431598211836</v>
      </c>
      <c r="L21" s="283">
        <f t="shared" ref="L21:N21" si="11">K21-$P$21</f>
        <v>0.66633431598211834</v>
      </c>
      <c r="M21" s="283">
        <f t="shared" si="11"/>
        <v>0.64633431598211832</v>
      </c>
      <c r="N21" s="284">
        <f t="shared" si="11"/>
        <v>0.62633431598211831</v>
      </c>
      <c r="P21" s="350">
        <v>0.02</v>
      </c>
      <c r="R21" s="369"/>
      <c r="S21" s="370"/>
      <c r="T21" s="370"/>
      <c r="U21" s="370"/>
      <c r="V21" s="370"/>
      <c r="W21" s="370"/>
      <c r="X21" s="370"/>
      <c r="Y21" s="371"/>
    </row>
    <row r="22" spans="1:25" x14ac:dyDescent="0.25">
      <c r="I22" s="82"/>
    </row>
    <row r="23" spans="1:25" ht="16.5" thickBot="1" x14ac:dyDescent="0.3">
      <c r="A23" s="1" t="s">
        <v>213</v>
      </c>
      <c r="B23" s="279" t="s">
        <v>291</v>
      </c>
      <c r="C23" s="32"/>
      <c r="D23" s="32"/>
      <c r="E23" s="32"/>
      <c r="F23" s="32"/>
      <c r="G23" s="11"/>
      <c r="H23" s="11"/>
      <c r="I23" s="96"/>
      <c r="J23" s="12"/>
      <c r="K23" s="12"/>
      <c r="L23" s="12"/>
      <c r="M23" s="12"/>
      <c r="N23" s="12"/>
    </row>
    <row r="24" spans="1:25" ht="15.75" customHeight="1" x14ac:dyDescent="0.25">
      <c r="I24" s="82"/>
      <c r="R24" s="363" t="s">
        <v>301</v>
      </c>
      <c r="S24" s="364"/>
      <c r="T24" s="364"/>
      <c r="U24" s="364"/>
      <c r="V24" s="364"/>
      <c r="W24" s="364"/>
      <c r="X24" s="364"/>
      <c r="Y24" s="365"/>
    </row>
    <row r="25" spans="1:25" x14ac:dyDescent="0.25">
      <c r="B25" s="19" t="s">
        <v>292</v>
      </c>
      <c r="G25" s="281">
        <v>1305.2</v>
      </c>
      <c r="H25" s="281">
        <v>1825.3</v>
      </c>
      <c r="I25" s="286">
        <v>3778.6</v>
      </c>
      <c r="J25" s="126">
        <f>J34*I28</f>
        <v>4722.21</v>
      </c>
      <c r="K25" s="126">
        <f t="shared" ref="K25:N25" ca="1" si="12">K34*J28</f>
        <v>6422.2056000000002</v>
      </c>
      <c r="L25" s="126">
        <f t="shared" ca="1" si="12"/>
        <v>7555.5359999999991</v>
      </c>
      <c r="M25" s="126">
        <f t="shared" ca="1" si="12"/>
        <v>8854.1437499999993</v>
      </c>
      <c r="N25" s="126">
        <f t="shared" ca="1" si="12"/>
        <v>9503.4476249999971</v>
      </c>
      <c r="R25" s="366"/>
      <c r="S25" s="367"/>
      <c r="T25" s="367"/>
      <c r="U25" s="367"/>
      <c r="V25" s="367"/>
      <c r="W25" s="367"/>
      <c r="X25" s="367"/>
      <c r="Y25" s="368"/>
    </row>
    <row r="26" spans="1:25" x14ac:dyDescent="0.25">
      <c r="B26" s="153" t="s">
        <v>284</v>
      </c>
      <c r="C26" s="153"/>
      <c r="D26" s="153"/>
      <c r="E26" s="153"/>
      <c r="F26" s="153"/>
      <c r="G26" s="153"/>
      <c r="H26" s="108">
        <f>H25/G25-1</f>
        <v>0.39848299111247321</v>
      </c>
      <c r="I26" s="109">
        <f>I25/H25-1</f>
        <v>1.0701254588286857</v>
      </c>
      <c r="J26" s="108">
        <f t="shared" ref="J26" si="13">J25/I25-1</f>
        <v>0.24972476578627001</v>
      </c>
      <c r="K26" s="108">
        <f t="shared" ref="K26" ca="1" si="14">K25/J25-1</f>
        <v>0.3600000000000001</v>
      </c>
      <c r="L26" s="108">
        <f t="shared" ref="L26" ca="1" si="15">L25/K25-1</f>
        <v>0.17647058823529393</v>
      </c>
      <c r="M26" s="108">
        <f t="shared" ref="M26" ca="1" si="16">M25/L25-1</f>
        <v>0.171875</v>
      </c>
      <c r="N26" s="108">
        <f t="shared" ref="N26" ca="1" si="17">N25/M25-1</f>
        <v>7.3333333333333028E-2</v>
      </c>
      <c r="R26" s="366"/>
      <c r="S26" s="367"/>
      <c r="T26" s="367"/>
      <c r="U26" s="367"/>
      <c r="V26" s="367"/>
      <c r="W26" s="367"/>
      <c r="X26" s="367"/>
      <c r="Y26" s="368"/>
    </row>
    <row r="27" spans="1:25" x14ac:dyDescent="0.25">
      <c r="I27" s="82"/>
      <c r="R27" s="366"/>
      <c r="S27" s="367"/>
      <c r="T27" s="367"/>
      <c r="U27" s="367"/>
      <c r="V27" s="367"/>
      <c r="W27" s="367"/>
      <c r="X27" s="367"/>
      <c r="Y27" s="368"/>
    </row>
    <row r="28" spans="1:25" x14ac:dyDescent="0.25">
      <c r="B28" s="19" t="s">
        <v>293</v>
      </c>
      <c r="F28" s="281">
        <v>0</v>
      </c>
      <c r="G28" s="281">
        <v>1314.21</v>
      </c>
      <c r="H28" s="281">
        <v>2548.65</v>
      </c>
      <c r="I28" s="286">
        <v>4722.21</v>
      </c>
      <c r="J28" s="126">
        <f ca="1">I28*(1+J29)</f>
        <v>7555.5360000000001</v>
      </c>
      <c r="K28" s="126">
        <f t="shared" ref="K28" ca="1" si="18">J28*(1+K29)</f>
        <v>9444.42</v>
      </c>
      <c r="L28" s="126">
        <f t="shared" ref="L28" ca="1" si="19">K28*(1+L29)</f>
        <v>11805.525</v>
      </c>
      <c r="M28" s="126">
        <f t="shared" ref="M28" ca="1" si="20">L28*(1+M29)</f>
        <v>13576.353749999998</v>
      </c>
      <c r="N28" s="126">
        <f t="shared" ref="N28" ca="1" si="21">M28*(1+N29)</f>
        <v>14933.989125</v>
      </c>
      <c r="R28" s="366"/>
      <c r="S28" s="367"/>
      <c r="T28" s="367"/>
      <c r="U28" s="367"/>
      <c r="V28" s="367"/>
      <c r="W28" s="367"/>
      <c r="X28" s="367"/>
      <c r="Y28" s="368"/>
    </row>
    <row r="29" spans="1:25" x14ac:dyDescent="0.25">
      <c r="B29" s="153" t="s">
        <v>284</v>
      </c>
      <c r="C29" s="153"/>
      <c r="D29" s="153"/>
      <c r="E29" s="153"/>
      <c r="F29" s="153"/>
      <c r="G29" s="153"/>
      <c r="H29" s="108">
        <f>H28/G28-1</f>
        <v>0.93930193804643092</v>
      </c>
      <c r="I29" s="109">
        <f>I28/H28-1</f>
        <v>0.85282796774763114</v>
      </c>
      <c r="J29" s="108">
        <f ca="1">OFFSET(J29,Cover!$G$19,0)</f>
        <v>0.6</v>
      </c>
      <c r="K29" s="108">
        <f ca="1">OFFSET(K29,Cover!$G$19,0)</f>
        <v>0.25</v>
      </c>
      <c r="L29" s="108">
        <f ca="1">OFFSET(L29,Cover!$G$19,0)</f>
        <v>0.25</v>
      </c>
      <c r="M29" s="108">
        <f ca="1">OFFSET(M29,Cover!$G$19,0)</f>
        <v>0.15</v>
      </c>
      <c r="N29" s="108">
        <f ca="1">OFFSET(N29,Cover!$G$19,0)</f>
        <v>0.1</v>
      </c>
      <c r="R29" s="366"/>
      <c r="S29" s="367"/>
      <c r="T29" s="367"/>
      <c r="U29" s="367"/>
      <c r="V29" s="367"/>
      <c r="W29" s="367"/>
      <c r="X29" s="367"/>
      <c r="Y29" s="368"/>
    </row>
    <row r="30" spans="1:25" x14ac:dyDescent="0.25">
      <c r="B30" s="22" t="s">
        <v>285</v>
      </c>
      <c r="H30" s="280"/>
      <c r="I30" s="287"/>
      <c r="J30" s="288">
        <v>0.6</v>
      </c>
      <c r="K30" s="288">
        <v>0.25</v>
      </c>
      <c r="L30" s="288">
        <v>0.25</v>
      </c>
      <c r="M30" s="288">
        <v>0.15</v>
      </c>
      <c r="N30" s="288">
        <v>0.1</v>
      </c>
      <c r="R30" s="366"/>
      <c r="S30" s="367"/>
      <c r="T30" s="367"/>
      <c r="U30" s="367"/>
      <c r="V30" s="367"/>
      <c r="W30" s="367"/>
      <c r="X30" s="367"/>
      <c r="Y30" s="368"/>
    </row>
    <row r="31" spans="1:25" x14ac:dyDescent="0.25">
      <c r="B31" s="22" t="s">
        <v>286</v>
      </c>
      <c r="H31" s="280"/>
      <c r="I31" s="287"/>
      <c r="J31" s="288">
        <v>0.7</v>
      </c>
      <c r="K31" s="288">
        <v>0.35</v>
      </c>
      <c r="L31" s="288">
        <v>0.35</v>
      </c>
      <c r="M31" s="288">
        <v>0.25</v>
      </c>
      <c r="N31" s="288">
        <v>0.2</v>
      </c>
      <c r="R31" s="366"/>
      <c r="S31" s="367"/>
      <c r="T31" s="367"/>
      <c r="U31" s="367"/>
      <c r="V31" s="367"/>
      <c r="W31" s="367"/>
      <c r="X31" s="367"/>
      <c r="Y31" s="368"/>
    </row>
    <row r="32" spans="1:25" x14ac:dyDescent="0.25">
      <c r="B32" s="22" t="s">
        <v>287</v>
      </c>
      <c r="H32" s="280"/>
      <c r="I32" s="287"/>
      <c r="J32" s="288">
        <v>0.5</v>
      </c>
      <c r="K32" s="288">
        <v>0.15</v>
      </c>
      <c r="L32" s="288">
        <v>0.15</v>
      </c>
      <c r="M32" s="288">
        <v>0.1</v>
      </c>
      <c r="N32" s="288">
        <v>0.05</v>
      </c>
      <c r="R32" s="366"/>
      <c r="S32" s="367"/>
      <c r="T32" s="367"/>
      <c r="U32" s="367"/>
      <c r="V32" s="367"/>
      <c r="W32" s="367"/>
      <c r="X32" s="367"/>
      <c r="Y32" s="368"/>
    </row>
    <row r="33" spans="1:25" x14ac:dyDescent="0.25">
      <c r="I33" s="82"/>
      <c r="R33" s="366"/>
      <c r="S33" s="367"/>
      <c r="T33" s="367"/>
      <c r="U33" s="367"/>
      <c r="V33" s="367"/>
      <c r="W33" s="367"/>
      <c r="X33" s="367"/>
      <c r="Y33" s="368"/>
    </row>
    <row r="34" spans="1:25" x14ac:dyDescent="0.25">
      <c r="B34" s="282" t="s">
        <v>294</v>
      </c>
      <c r="C34" s="159"/>
      <c r="D34" s="159"/>
      <c r="E34" s="159"/>
      <c r="F34" s="159"/>
      <c r="G34" s="283"/>
      <c r="H34" s="283">
        <f>H25/G28</f>
        <v>1.3888952298338926</v>
      </c>
      <c r="I34" s="284">
        <f>I25/H28</f>
        <v>1.4825888215329683</v>
      </c>
      <c r="J34" s="324">
        <v>1</v>
      </c>
      <c r="K34" s="324">
        <v>0.85</v>
      </c>
      <c r="L34" s="283">
        <f t="shared" ref="L34:N34" si="22">K34-$P$34</f>
        <v>0.79999999999999993</v>
      </c>
      <c r="M34" s="283">
        <f t="shared" si="22"/>
        <v>0.74999999999999989</v>
      </c>
      <c r="N34" s="284">
        <f t="shared" si="22"/>
        <v>0.69999999999999984</v>
      </c>
      <c r="P34" s="350">
        <v>0.05</v>
      </c>
      <c r="R34" s="369"/>
      <c r="S34" s="370"/>
      <c r="T34" s="370"/>
      <c r="U34" s="370"/>
      <c r="V34" s="370"/>
      <c r="W34" s="370"/>
      <c r="X34" s="370"/>
      <c r="Y34" s="371"/>
    </row>
    <row r="35" spans="1:25" x14ac:dyDescent="0.25">
      <c r="I35" s="82"/>
    </row>
    <row r="36" spans="1:25" ht="16.5" thickBot="1" x14ac:dyDescent="0.3">
      <c r="A36" s="1" t="s">
        <v>213</v>
      </c>
      <c r="B36" s="279" t="s">
        <v>295</v>
      </c>
      <c r="C36" s="32"/>
      <c r="D36" s="32"/>
      <c r="E36" s="32"/>
      <c r="F36" s="32"/>
      <c r="G36" s="11"/>
      <c r="H36" s="11"/>
      <c r="I36" s="96"/>
      <c r="J36" s="12"/>
      <c r="K36" s="12"/>
      <c r="L36" s="12"/>
      <c r="M36" s="12"/>
      <c r="N36" s="12"/>
    </row>
    <row r="37" spans="1:25" x14ac:dyDescent="0.25">
      <c r="I37" s="82"/>
      <c r="R37" s="363" t="s">
        <v>302</v>
      </c>
      <c r="S37" s="364"/>
      <c r="T37" s="364"/>
      <c r="U37" s="364"/>
      <c r="V37" s="364"/>
      <c r="W37" s="364"/>
      <c r="X37" s="364"/>
      <c r="Y37" s="365"/>
    </row>
    <row r="38" spans="1:25" x14ac:dyDescent="0.25">
      <c r="B38" s="19" t="s">
        <v>296</v>
      </c>
      <c r="G38" s="281">
        <v>3429.3</v>
      </c>
      <c r="H38" s="281">
        <v>3530.7</v>
      </c>
      <c r="I38" s="286">
        <v>4355.1000000000004</v>
      </c>
      <c r="J38" s="126">
        <f>J47*I41</f>
        <v>4754.9194383472723</v>
      </c>
      <c r="K38" s="126">
        <f t="shared" ref="K38:N38" ca="1" si="23">K47*J41</f>
        <v>4992.6654102646362</v>
      </c>
      <c r="L38" s="126">
        <f t="shared" ca="1" si="23"/>
        <v>5217.3353537265439</v>
      </c>
      <c r="M38" s="126">
        <f t="shared" ca="1" si="23"/>
        <v>5426.0287678756067</v>
      </c>
      <c r="N38" s="126">
        <f t="shared" ca="1" si="23"/>
        <v>5615.9397747512521</v>
      </c>
      <c r="R38" s="366"/>
      <c r="S38" s="367"/>
      <c r="T38" s="367"/>
      <c r="U38" s="367"/>
      <c r="V38" s="367"/>
      <c r="W38" s="367"/>
      <c r="X38" s="367"/>
      <c r="Y38" s="368"/>
    </row>
    <row r="39" spans="1:25" x14ac:dyDescent="0.25">
      <c r="B39" s="153" t="s">
        <v>284</v>
      </c>
      <c r="C39" s="153"/>
      <c r="D39" s="153"/>
      <c r="E39" s="153"/>
      <c r="F39" s="153"/>
      <c r="G39" s="153"/>
      <c r="H39" s="108">
        <f>H38/G38-1</f>
        <v>2.9568716647712323E-2</v>
      </c>
      <c r="I39" s="109">
        <f>I38/H38-1</f>
        <v>0.23349477440734145</v>
      </c>
      <c r="J39" s="108">
        <f t="shared" ref="J39" si="24">J38/I38-1</f>
        <v>9.1804881253535253E-2</v>
      </c>
      <c r="K39" s="108">
        <f t="shared" ref="K39" ca="1" si="25">K38/J38-1</f>
        <v>5.0000000000000044E-2</v>
      </c>
      <c r="L39" s="108">
        <f t="shared" ref="L39" ca="1" si="26">L38/K38-1</f>
        <v>4.4999999999999707E-2</v>
      </c>
      <c r="M39" s="108">
        <f t="shared" ref="M39" ca="1" si="27">M38/L38-1</f>
        <v>4.0000000000000258E-2</v>
      </c>
      <c r="N39" s="108">
        <f t="shared" ref="N39" ca="1" si="28">N38/M38-1</f>
        <v>3.499999999999992E-2</v>
      </c>
      <c r="R39" s="366"/>
      <c r="S39" s="367"/>
      <c r="T39" s="367"/>
      <c r="U39" s="367"/>
      <c r="V39" s="367"/>
      <c r="W39" s="367"/>
      <c r="X39" s="367"/>
      <c r="Y39" s="368"/>
    </row>
    <row r="40" spans="1:25" x14ac:dyDescent="0.25">
      <c r="I40" s="82"/>
      <c r="R40" s="366"/>
      <c r="S40" s="367"/>
      <c r="T40" s="367"/>
      <c r="U40" s="367"/>
      <c r="V40" s="367"/>
      <c r="W40" s="367"/>
      <c r="X40" s="367"/>
      <c r="Y40" s="368"/>
    </row>
    <row r="41" spans="1:25" x14ac:dyDescent="0.25">
      <c r="B41" s="19" t="s">
        <v>297</v>
      </c>
      <c r="F41" s="281">
        <v>5182.66</v>
      </c>
      <c r="G41" s="281">
        <v>4151.1499999999996</v>
      </c>
      <c r="H41" s="281">
        <v>4508.71</v>
      </c>
      <c r="I41" s="286">
        <v>6288.65</v>
      </c>
      <c r="J41" s="126">
        <f ca="1">I41*(1+J42)</f>
        <v>6603.0824999999995</v>
      </c>
      <c r="K41" s="126">
        <f t="shared" ref="K41" ca="1" si="29">J41*(1+K42)</f>
        <v>6900.2212124999987</v>
      </c>
      <c r="L41" s="126">
        <f t="shared" ref="L41" ca="1" si="30">K41*(1+L42)</f>
        <v>7176.2300609999993</v>
      </c>
      <c r="M41" s="126">
        <f t="shared" ref="M41" ca="1" si="31">L41*(1+M42)</f>
        <v>7427.3981131349983</v>
      </c>
      <c r="N41" s="126">
        <f t="shared" ref="N41" ca="1" si="32">M41*(1+N42)</f>
        <v>7650.2200565290486</v>
      </c>
      <c r="R41" s="366"/>
      <c r="S41" s="367"/>
      <c r="T41" s="367"/>
      <c r="U41" s="367"/>
      <c r="V41" s="367"/>
      <c r="W41" s="367"/>
      <c r="X41" s="367"/>
      <c r="Y41" s="368"/>
    </row>
    <row r="42" spans="1:25" x14ac:dyDescent="0.25">
      <c r="B42" s="153" t="s">
        <v>284</v>
      </c>
      <c r="C42" s="153"/>
      <c r="D42" s="153"/>
      <c r="E42" s="153"/>
      <c r="F42" s="153"/>
      <c r="G42" s="153"/>
      <c r="H42" s="108">
        <f>H41/G41-1</f>
        <v>8.6135167363260878E-2</v>
      </c>
      <c r="I42" s="109">
        <f>I41/H41-1</f>
        <v>0.3947781072634966</v>
      </c>
      <c r="J42" s="108">
        <f ca="1">OFFSET(J42,Cover!$G$19,0)</f>
        <v>0.05</v>
      </c>
      <c r="K42" s="108">
        <f ca="1">OFFSET(K42,Cover!$G$19,0)</f>
        <v>4.5000000000000005E-2</v>
      </c>
      <c r="L42" s="108">
        <f ca="1">OFFSET(L42,Cover!$G$19,0)</f>
        <v>4.0000000000000008E-2</v>
      </c>
      <c r="M42" s="108">
        <f ca="1">OFFSET(M42,Cover!$G$19,0)</f>
        <v>3.500000000000001E-2</v>
      </c>
      <c r="N42" s="108">
        <f ca="1">OFFSET(N42,Cover!$G$19,0)</f>
        <v>3.0000000000000009E-2</v>
      </c>
      <c r="R42" s="366"/>
      <c r="S42" s="367"/>
      <c r="T42" s="367"/>
      <c r="U42" s="367"/>
      <c r="V42" s="367"/>
      <c r="W42" s="367"/>
      <c r="X42" s="367"/>
      <c r="Y42" s="368"/>
    </row>
    <row r="43" spans="1:25" x14ac:dyDescent="0.25">
      <c r="B43" s="22" t="s">
        <v>285</v>
      </c>
      <c r="H43" s="280"/>
      <c r="I43" s="287"/>
      <c r="J43" s="288">
        <v>0.05</v>
      </c>
      <c r="K43" s="289">
        <f>J43-$P$43</f>
        <v>4.5000000000000005E-2</v>
      </c>
      <c r="L43" s="289">
        <f t="shared" ref="L43:N43" si="33">K43-$P$43</f>
        <v>4.0000000000000008E-2</v>
      </c>
      <c r="M43" s="289">
        <f t="shared" si="33"/>
        <v>3.500000000000001E-2</v>
      </c>
      <c r="N43" s="289">
        <f t="shared" si="33"/>
        <v>3.0000000000000009E-2</v>
      </c>
      <c r="P43" s="350">
        <v>5.0000000000000001E-3</v>
      </c>
      <c r="R43" s="366"/>
      <c r="S43" s="367"/>
      <c r="T43" s="367"/>
      <c r="U43" s="367"/>
      <c r="V43" s="367"/>
      <c r="W43" s="367"/>
      <c r="X43" s="367"/>
      <c r="Y43" s="368"/>
    </row>
    <row r="44" spans="1:25" x14ac:dyDescent="0.25">
      <c r="B44" s="22" t="s">
        <v>286</v>
      </c>
      <c r="H44" s="280"/>
      <c r="I44" s="287"/>
      <c r="J44" s="288">
        <v>0.05</v>
      </c>
      <c r="K44" s="289">
        <f>J44</f>
        <v>0.05</v>
      </c>
      <c r="L44" s="289">
        <f t="shared" ref="L44:N44" si="34">K44</f>
        <v>0.05</v>
      </c>
      <c r="M44" s="289">
        <f t="shared" si="34"/>
        <v>0.05</v>
      </c>
      <c r="N44" s="289">
        <f t="shared" si="34"/>
        <v>0.05</v>
      </c>
      <c r="R44" s="366"/>
      <c r="S44" s="367"/>
      <c r="T44" s="367"/>
      <c r="U44" s="367"/>
      <c r="V44" s="367"/>
      <c r="W44" s="367"/>
      <c r="X44" s="367"/>
      <c r="Y44" s="368"/>
    </row>
    <row r="45" spans="1:25" x14ac:dyDescent="0.25">
      <c r="B45" s="22" t="s">
        <v>287</v>
      </c>
      <c r="H45" s="280"/>
      <c r="I45" s="287"/>
      <c r="J45" s="288">
        <v>0</v>
      </c>
      <c r="K45" s="288">
        <v>0</v>
      </c>
      <c r="L45" s="288">
        <v>0</v>
      </c>
      <c r="M45" s="288">
        <v>0</v>
      </c>
      <c r="N45" s="288">
        <v>0</v>
      </c>
      <c r="R45" s="366"/>
      <c r="S45" s="367"/>
      <c r="T45" s="367"/>
      <c r="U45" s="367"/>
      <c r="V45" s="367"/>
      <c r="W45" s="367"/>
      <c r="X45" s="367"/>
      <c r="Y45" s="368"/>
    </row>
    <row r="46" spans="1:25" x14ac:dyDescent="0.25">
      <c r="I46" s="82"/>
      <c r="R46" s="366"/>
      <c r="S46" s="367"/>
      <c r="T46" s="367"/>
      <c r="U46" s="367"/>
      <c r="V46" s="367"/>
      <c r="W46" s="367"/>
      <c r="X46" s="367"/>
      <c r="Y46" s="368"/>
    </row>
    <row r="47" spans="1:25" x14ac:dyDescent="0.25">
      <c r="B47" s="282" t="s">
        <v>298</v>
      </c>
      <c r="C47" s="159"/>
      <c r="D47" s="159"/>
      <c r="E47" s="159"/>
      <c r="F47" s="159"/>
      <c r="G47" s="283">
        <f>G38/F41</f>
        <v>0.66168724168670146</v>
      </c>
      <c r="H47" s="283">
        <f>H38/G41</f>
        <v>0.85053539380653553</v>
      </c>
      <c r="I47" s="284">
        <f>I38/H41</f>
        <v>0.96593038807108911</v>
      </c>
      <c r="J47" s="283">
        <f>AVERAGE($G$47:$H$47)</f>
        <v>0.75611131774661855</v>
      </c>
      <c r="K47" s="283">
        <f t="shared" ref="K47:N47" si="35">AVERAGE($G$47:$H$47)</f>
        <v>0.75611131774661855</v>
      </c>
      <c r="L47" s="283">
        <f t="shared" si="35"/>
        <v>0.75611131774661855</v>
      </c>
      <c r="M47" s="283">
        <f t="shared" si="35"/>
        <v>0.75611131774661855</v>
      </c>
      <c r="N47" s="284">
        <f t="shared" si="35"/>
        <v>0.75611131774661855</v>
      </c>
      <c r="P47" s="350">
        <v>0</v>
      </c>
      <c r="R47" s="369"/>
      <c r="S47" s="370"/>
      <c r="T47" s="370"/>
      <c r="U47" s="370"/>
      <c r="V47" s="370"/>
      <c r="W47" s="370"/>
      <c r="X47" s="370"/>
      <c r="Y47" s="371"/>
    </row>
    <row r="50" spans="2:14" x14ac:dyDescent="0.25">
      <c r="B50" s="19" t="s">
        <v>326</v>
      </c>
    </row>
    <row r="51" spans="2:14" x14ac:dyDescent="0.25">
      <c r="B51" s="1" t="s">
        <v>324</v>
      </c>
      <c r="G51" s="85">
        <f>SUM(G41,G28,G15)</f>
        <v>15132.43</v>
      </c>
      <c r="H51" s="85">
        <f t="shared" ref="H51:N51" si="36">SUM(H41,H28,H15)</f>
        <v>19274.230000000003</v>
      </c>
      <c r="I51" s="85">
        <f t="shared" si="36"/>
        <v>24093.77</v>
      </c>
      <c r="J51" s="85">
        <f t="shared" ca="1" si="36"/>
        <v>29203.964999999997</v>
      </c>
      <c r="K51" s="85">
        <f t="shared" ca="1" si="36"/>
        <v>33496.336222499995</v>
      </c>
      <c r="L51" s="85">
        <f t="shared" ca="1" si="36"/>
        <v>38363.170422299998</v>
      </c>
      <c r="M51" s="85">
        <f t="shared" ca="1" si="36"/>
        <v>42710.93706779099</v>
      </c>
      <c r="N51" s="85">
        <f t="shared" ca="1" si="36"/>
        <v>46679.1847586972</v>
      </c>
    </row>
    <row r="52" spans="2:14" x14ac:dyDescent="0.25">
      <c r="B52" s="1" t="s">
        <v>6</v>
      </c>
      <c r="G52" s="85">
        <f>G7</f>
        <v>11202.7</v>
      </c>
      <c r="H52" s="85">
        <f t="shared" ref="H52:N52" si="37">H7</f>
        <v>12980.2</v>
      </c>
      <c r="I52" s="85">
        <f t="shared" si="37"/>
        <v>17074</v>
      </c>
      <c r="J52" s="85">
        <f t="shared" si="37"/>
        <v>18718.037724252888</v>
      </c>
      <c r="K52" s="85">
        <f t="shared" ca="1" si="37"/>
        <v>21741.008609056091</v>
      </c>
      <c r="L52" s="85">
        <f t="shared" ca="1" si="37"/>
        <v>24201.6343161488</v>
      </c>
      <c r="M52" s="85">
        <f t="shared" ca="1" si="37"/>
        <v>26807.046358186759</v>
      </c>
      <c r="N52" s="85">
        <f t="shared" ca="1" si="37"/>
        <v>28715.342396806616</v>
      </c>
    </row>
    <row r="53" spans="2:14" x14ac:dyDescent="0.25">
      <c r="B53" s="282" t="s">
        <v>325</v>
      </c>
      <c r="C53" s="159"/>
      <c r="D53" s="159"/>
      <c r="E53" s="159"/>
      <c r="F53" s="159"/>
      <c r="G53" s="385">
        <f>G51/G52</f>
        <v>1.3507841859551715</v>
      </c>
      <c r="H53" s="385">
        <f t="shared" ref="H53:N53" si="38">H51/H52</f>
        <v>1.4848946857521457</v>
      </c>
      <c r="I53" s="385">
        <f t="shared" si="38"/>
        <v>1.4111379875834602</v>
      </c>
      <c r="J53" s="385">
        <f t="shared" ca="1" si="38"/>
        <v>1.5602044097902705</v>
      </c>
      <c r="K53" s="385">
        <f t="shared" ca="1" si="38"/>
        <v>1.5406983560342868</v>
      </c>
      <c r="L53" s="385">
        <f t="shared" ca="1" si="38"/>
        <v>1.5851479251837866</v>
      </c>
      <c r="M53" s="385">
        <f t="shared" ca="1" si="38"/>
        <v>1.5932727722816524</v>
      </c>
      <c r="N53" s="386">
        <f t="shared" ca="1" si="38"/>
        <v>1.6255834290134847</v>
      </c>
    </row>
  </sheetData>
  <mergeCells count="3">
    <mergeCell ref="R11:Y21"/>
    <mergeCell ref="R24:Y34"/>
    <mergeCell ref="R37:Y4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E3832-6B96-49D0-810F-A7CB4CBE3AFE}">
  <sheetPr>
    <tabColor theme="4" tint="-0.249977111117893"/>
  </sheetPr>
  <dimension ref="B1:O29"/>
  <sheetViews>
    <sheetView showGridLines="0" zoomScaleNormal="100" workbookViewId="0">
      <selection activeCell="R29" sqref="R29"/>
    </sheetView>
  </sheetViews>
  <sheetFormatPr defaultColWidth="12.7109375" defaultRowHeight="15.75" x14ac:dyDescent="0.25"/>
  <cols>
    <col min="1" max="1" width="5.7109375" style="1" customWidth="1"/>
    <col min="2" max="13" width="12.7109375" style="1"/>
    <col min="14" max="14" width="2.7109375" style="1" customWidth="1"/>
    <col min="15" max="15" width="12.7109375" style="1"/>
    <col min="16" max="16" width="2.7109375" style="1" customWidth="1"/>
    <col min="17" max="16384" width="12.7109375" style="1"/>
  </cols>
  <sheetData>
    <row r="1" spans="2:15" s="6" customFormat="1" x14ac:dyDescent="0.25">
      <c r="O1" s="7"/>
    </row>
    <row r="2" spans="2:15" s="6" customFormat="1" ht="18.75" x14ac:dyDescent="0.25">
      <c r="B2" s="8" t="s">
        <v>50</v>
      </c>
      <c r="O2" s="7"/>
    </row>
    <row r="3" spans="2:15" s="6" customFormat="1" x14ac:dyDescent="0.25">
      <c r="B3" s="18"/>
      <c r="O3" s="7"/>
    </row>
    <row r="4" spans="2:15" s="6" customFormat="1" ht="16.5" thickBot="1" x14ac:dyDescent="0.3">
      <c r="B4" s="10" t="s">
        <v>5</v>
      </c>
      <c r="C4" s="10"/>
      <c r="D4" s="10"/>
      <c r="E4" s="10"/>
      <c r="F4" s="11">
        <v>2020</v>
      </c>
      <c r="G4" s="11">
        <v>2021</v>
      </c>
      <c r="H4" s="11">
        <v>2022</v>
      </c>
      <c r="I4" s="12">
        <f>H4+1</f>
        <v>2023</v>
      </c>
      <c r="J4" s="12">
        <f t="shared" ref="J4:M4" si="0">I4+1</f>
        <v>2024</v>
      </c>
      <c r="K4" s="12">
        <f t="shared" si="0"/>
        <v>2025</v>
      </c>
      <c r="L4" s="12">
        <f t="shared" si="0"/>
        <v>2026</v>
      </c>
      <c r="M4" s="12">
        <f t="shared" si="0"/>
        <v>2027</v>
      </c>
      <c r="O4" s="194" t="s">
        <v>76</v>
      </c>
    </row>
    <row r="5" spans="2:15" s="9" customFormat="1" x14ac:dyDescent="0.25">
      <c r="B5" s="9" t="s">
        <v>4</v>
      </c>
      <c r="H5" s="17"/>
      <c r="O5" s="200"/>
    </row>
    <row r="6" spans="2:15" x14ac:dyDescent="0.25">
      <c r="H6" s="82"/>
      <c r="O6" s="19"/>
    </row>
    <row r="7" spans="2:15" s="19" customFormat="1" x14ac:dyDescent="0.25">
      <c r="B7" s="19" t="s">
        <v>6</v>
      </c>
      <c r="F7" s="126">
        <f>'Income Statement'!H7</f>
        <v>11202.672</v>
      </c>
      <c r="G7" s="126">
        <f>'Income Statement'!I7</f>
        <v>12980.213</v>
      </c>
      <c r="H7" s="168">
        <f>'Income Statement'!J7</f>
        <v>17073.902999999998</v>
      </c>
      <c r="I7" s="126">
        <f>'Income Statement'!K7</f>
        <v>18718.037724252888</v>
      </c>
      <c r="J7" s="126">
        <f ca="1">'Income Statement'!L7</f>
        <v>21741.008609056091</v>
      </c>
      <c r="K7" s="126">
        <f ca="1">'Income Statement'!M7</f>
        <v>24201.6343161488</v>
      </c>
      <c r="L7" s="126">
        <f ca="1">'Income Statement'!N7</f>
        <v>26807.046358186759</v>
      </c>
      <c r="M7" s="126">
        <f ca="1">'Income Statement'!O7</f>
        <v>28715.342396806616</v>
      </c>
    </row>
    <row r="8" spans="2:15" x14ac:dyDescent="0.25">
      <c r="F8" s="85"/>
      <c r="G8" s="85"/>
      <c r="H8" s="88"/>
      <c r="I8" s="85"/>
      <c r="J8" s="85"/>
      <c r="K8" s="85"/>
      <c r="L8" s="85"/>
      <c r="M8" s="85"/>
      <c r="O8" s="19"/>
    </row>
    <row r="9" spans="2:15" x14ac:dyDescent="0.25">
      <c r="B9" s="19" t="s">
        <v>168</v>
      </c>
      <c r="F9" s="126">
        <f>'Income Statement'!H8</f>
        <v>-9316.5690000000013</v>
      </c>
      <c r="G9" s="126">
        <f>'Income Statement'!I8</f>
        <v>-10771.424999999999</v>
      </c>
      <c r="H9" s="168">
        <f>'Income Statement'!J8</f>
        <v>-14254.100999999999</v>
      </c>
      <c r="I9" s="126">
        <f ca="1">I$7*I10*-1</f>
        <v>-15535.971311129897</v>
      </c>
      <c r="J9" s="126">
        <f t="shared" ref="J9:M9" ca="1" si="1">J$7*J10*-1</f>
        <v>-17936.332102471275</v>
      </c>
      <c r="K9" s="126">
        <f t="shared" ca="1" si="1"/>
        <v>-19845.340139242016</v>
      </c>
      <c r="L9" s="126">
        <f t="shared" ca="1" si="1"/>
        <v>-21847.742781922207</v>
      </c>
      <c r="M9" s="126">
        <f t="shared" ca="1" si="1"/>
        <v>-23259.427341413357</v>
      </c>
      <c r="O9" s="19"/>
    </row>
    <row r="10" spans="2:15" s="153" customFormat="1" x14ac:dyDescent="0.25">
      <c r="B10" s="153" t="s">
        <v>303</v>
      </c>
      <c r="F10" s="108">
        <f>F9/F$7*-1</f>
        <v>0.83163811276452626</v>
      </c>
      <c r="G10" s="108">
        <f t="shared" ref="G10:H10" si="2">G9/G$7*-1</f>
        <v>0.82983422537056972</v>
      </c>
      <c r="H10" s="109">
        <f t="shared" si="2"/>
        <v>0.83484725197279142</v>
      </c>
      <c r="I10" s="108">
        <f ca="1">OFFSET(I10,Cover!$G$21,0)</f>
        <v>0.83</v>
      </c>
      <c r="J10" s="108">
        <f ca="1">OFFSET(J10,Cover!$G$21,0)</f>
        <v>0.82499999999999996</v>
      </c>
      <c r="K10" s="108">
        <f ca="1">OFFSET(K10,Cover!$G$21,0)</f>
        <v>0.82</v>
      </c>
      <c r="L10" s="108">
        <f ca="1">OFFSET(L10,Cover!$G$21,0)</f>
        <v>0.81499999999999995</v>
      </c>
      <c r="M10" s="108">
        <f ca="1">OFFSET(M10,Cover!$G$21,0)</f>
        <v>0.80999999999999994</v>
      </c>
      <c r="O10" s="307"/>
    </row>
    <row r="11" spans="2:15" x14ac:dyDescent="0.25">
      <c r="B11" s="22" t="s">
        <v>285</v>
      </c>
      <c r="F11" s="280"/>
      <c r="G11" s="280"/>
      <c r="H11" s="287"/>
      <c r="I11" s="288">
        <v>0.83</v>
      </c>
      <c r="J11" s="290">
        <f>I11-$O$11</f>
        <v>0.82499999999999996</v>
      </c>
      <c r="K11" s="290">
        <f t="shared" ref="K11:M11" si="3">J11-$O$11</f>
        <v>0.82</v>
      </c>
      <c r="L11" s="290">
        <f t="shared" si="3"/>
        <v>0.81499999999999995</v>
      </c>
      <c r="M11" s="290">
        <f t="shared" si="3"/>
        <v>0.80999999999999994</v>
      </c>
      <c r="O11" s="350">
        <v>5.0000000000000001E-3</v>
      </c>
    </row>
    <row r="12" spans="2:15" x14ac:dyDescent="0.25">
      <c r="B12" s="22" t="s">
        <v>286</v>
      </c>
      <c r="F12" s="280"/>
      <c r="G12" s="280"/>
      <c r="H12" s="287"/>
      <c r="I12" s="288">
        <v>0.82499999999999996</v>
      </c>
      <c r="J12" s="290">
        <f>I12-$O$11</f>
        <v>0.82</v>
      </c>
      <c r="K12" s="290">
        <f t="shared" ref="K12:M12" si="4">J12-$O$11</f>
        <v>0.81499999999999995</v>
      </c>
      <c r="L12" s="290">
        <f t="shared" si="4"/>
        <v>0.80999999999999994</v>
      </c>
      <c r="M12" s="290">
        <f t="shared" si="4"/>
        <v>0.80499999999999994</v>
      </c>
      <c r="O12" s="19"/>
    </row>
    <row r="13" spans="2:15" x14ac:dyDescent="0.25">
      <c r="B13" s="22" t="s">
        <v>287</v>
      </c>
      <c r="F13" s="280"/>
      <c r="G13" s="280"/>
      <c r="H13" s="287"/>
      <c r="I13" s="288">
        <f>I11</f>
        <v>0.83</v>
      </c>
      <c r="J13" s="290">
        <f>I13</f>
        <v>0.83</v>
      </c>
      <c r="K13" s="290">
        <f t="shared" ref="K13:M13" si="5">J13</f>
        <v>0.83</v>
      </c>
      <c r="L13" s="290">
        <f t="shared" si="5"/>
        <v>0.83</v>
      </c>
      <c r="M13" s="290">
        <f t="shared" si="5"/>
        <v>0.83</v>
      </c>
      <c r="O13" s="19"/>
    </row>
    <row r="14" spans="2:15" x14ac:dyDescent="0.25">
      <c r="H14" s="82"/>
      <c r="O14" s="19"/>
    </row>
    <row r="15" spans="2:15" x14ac:dyDescent="0.25">
      <c r="B15" s="19" t="s">
        <v>170</v>
      </c>
      <c r="F15" s="126">
        <f>'Income Statement'!H13</f>
        <v>-975.07399999999996</v>
      </c>
      <c r="G15" s="126">
        <f>'Income Statement'!I13</f>
        <v>-1155.9559999999999</v>
      </c>
      <c r="H15" s="168">
        <f>'Income Statement'!J13</f>
        <v>-1336.711</v>
      </c>
      <c r="I15" s="126">
        <f ca="1">I$7*I16*-1</f>
        <v>-1460.0069424917253</v>
      </c>
      <c r="J15" s="126">
        <f t="shared" ref="J15:M15" ca="1" si="6">J$7*J16*-1</f>
        <v>-1706.6691758109032</v>
      </c>
      <c r="K15" s="126">
        <f t="shared" ca="1" si="6"/>
        <v>-1911.9291109757553</v>
      </c>
      <c r="L15" s="126">
        <f t="shared" ca="1" si="6"/>
        <v>-2131.1601854758474</v>
      </c>
      <c r="M15" s="126">
        <f t="shared" ca="1" si="6"/>
        <v>-2297.2273917445295</v>
      </c>
      <c r="O15" s="19"/>
    </row>
    <row r="16" spans="2:15" x14ac:dyDescent="0.25">
      <c r="B16" s="153" t="s">
        <v>303</v>
      </c>
      <c r="F16" s="108">
        <f>F15/F$7*-1</f>
        <v>8.703941345421877E-2</v>
      </c>
      <c r="G16" s="108">
        <f t="shared" ref="G16" si="7">G15/G$7*-1</f>
        <v>8.9055241235255531E-2</v>
      </c>
      <c r="H16" s="109">
        <f t="shared" ref="H16" si="8">H15/H$7*-1</f>
        <v>7.8289715011266026E-2</v>
      </c>
      <c r="I16" s="108">
        <f ca="1">OFFSET(I16,Cover!$G$21,0)</f>
        <v>7.8E-2</v>
      </c>
      <c r="J16" s="108">
        <f ca="1">OFFSET(J16,Cover!$G$21,0)</f>
        <v>7.85E-2</v>
      </c>
      <c r="K16" s="108">
        <f ca="1">OFFSET(K16,Cover!$G$21,0)</f>
        <v>7.9000000000000001E-2</v>
      </c>
      <c r="L16" s="108">
        <f ca="1">OFFSET(L16,Cover!$G$21,0)</f>
        <v>7.9500000000000001E-2</v>
      </c>
      <c r="M16" s="108">
        <f ca="1">OFFSET(M16,Cover!$G$21,0)</f>
        <v>0.08</v>
      </c>
      <c r="O16" s="19"/>
    </row>
    <row r="17" spans="2:15" x14ac:dyDescent="0.25">
      <c r="B17" s="22" t="s">
        <v>285</v>
      </c>
      <c r="F17" s="280"/>
      <c r="G17" s="280"/>
      <c r="H17" s="287"/>
      <c r="I17" s="288">
        <v>7.8E-2</v>
      </c>
      <c r="J17" s="290">
        <f>I17+$O$17</f>
        <v>7.85E-2</v>
      </c>
      <c r="K17" s="290">
        <f t="shared" ref="K17:M17" si="9">J17+$O$17</f>
        <v>7.9000000000000001E-2</v>
      </c>
      <c r="L17" s="290">
        <f t="shared" si="9"/>
        <v>7.9500000000000001E-2</v>
      </c>
      <c r="M17" s="290">
        <f t="shared" si="9"/>
        <v>0.08</v>
      </c>
      <c r="O17" s="350">
        <v>5.0000000000000001E-4</v>
      </c>
    </row>
    <row r="18" spans="2:15" x14ac:dyDescent="0.25">
      <c r="B18" s="22" t="s">
        <v>286</v>
      </c>
      <c r="F18" s="280"/>
      <c r="G18" s="280"/>
      <c r="H18" s="287"/>
      <c r="I18" s="288">
        <v>7.8E-2</v>
      </c>
      <c r="J18" s="290">
        <f>I18-$O$18</f>
        <v>7.6999999999999999E-2</v>
      </c>
      <c r="K18" s="290">
        <f t="shared" ref="K18:M18" si="10">J18-$O$18</f>
        <v>7.5999999999999998E-2</v>
      </c>
      <c r="L18" s="290">
        <f t="shared" si="10"/>
        <v>7.4999999999999997E-2</v>
      </c>
      <c r="M18" s="290">
        <f t="shared" si="10"/>
        <v>7.3999999999999996E-2</v>
      </c>
      <c r="O18" s="350">
        <v>1E-3</v>
      </c>
    </row>
    <row r="19" spans="2:15" x14ac:dyDescent="0.25">
      <c r="B19" s="22" t="s">
        <v>287</v>
      </c>
      <c r="F19" s="280"/>
      <c r="G19" s="280"/>
      <c r="H19" s="287"/>
      <c r="I19" s="288">
        <v>0.08</v>
      </c>
      <c r="J19" s="290">
        <f>I19-$O$19</f>
        <v>0.08</v>
      </c>
      <c r="K19" s="290">
        <f t="shared" ref="K19:M19" si="11">J19-$O$19</f>
        <v>0.08</v>
      </c>
      <c r="L19" s="290">
        <f t="shared" si="11"/>
        <v>0.08</v>
      </c>
      <c r="M19" s="290">
        <f t="shared" si="11"/>
        <v>0.08</v>
      </c>
      <c r="O19" s="350">
        <v>0</v>
      </c>
    </row>
    <row r="20" spans="2:15" x14ac:dyDescent="0.25">
      <c r="H20" s="82"/>
    </row>
    <row r="21" spans="2:15" s="19" customFormat="1" x14ac:dyDescent="0.25">
      <c r="B21" s="19" t="s">
        <v>316</v>
      </c>
      <c r="F21" s="328">
        <v>0</v>
      </c>
      <c r="G21" s="328">
        <v>0</v>
      </c>
      <c r="H21" s="329">
        <v>0</v>
      </c>
      <c r="I21" s="328">
        <f ca="1">OFFSET(I21,Cover!$G$23,0)</f>
        <v>0</v>
      </c>
      <c r="J21" s="328">
        <f ca="1">OFFSET(J21,Cover!$G$23,0)</f>
        <v>0</v>
      </c>
      <c r="K21" s="328">
        <f ca="1">OFFSET(K21,Cover!$G$23,0)</f>
        <v>0</v>
      </c>
      <c r="L21" s="328">
        <f ca="1">OFFSET(L21,Cover!$G$23,0)</f>
        <v>0</v>
      </c>
      <c r="M21" s="328">
        <f ca="1">OFFSET(M21,Cover!$G$23,0)</f>
        <v>0</v>
      </c>
    </row>
    <row r="22" spans="2:15" x14ac:dyDescent="0.25">
      <c r="B22" s="22" t="s">
        <v>285</v>
      </c>
      <c r="F22" s="108"/>
      <c r="G22" s="108"/>
      <c r="H22" s="109"/>
      <c r="I22" s="288">
        <v>0</v>
      </c>
      <c r="J22" s="288">
        <v>0</v>
      </c>
      <c r="K22" s="288">
        <v>0</v>
      </c>
      <c r="L22" s="288">
        <v>0</v>
      </c>
      <c r="M22" s="288">
        <v>0</v>
      </c>
    </row>
    <row r="23" spans="2:15" x14ac:dyDescent="0.25">
      <c r="B23" s="22" t="s">
        <v>286</v>
      </c>
      <c r="F23" s="280"/>
      <c r="G23" s="280"/>
      <c r="H23" s="287"/>
      <c r="I23" s="288">
        <v>-0.01</v>
      </c>
      <c r="J23" s="288">
        <v>-0.01</v>
      </c>
      <c r="K23" s="288">
        <v>-0.01</v>
      </c>
      <c r="L23" s="288">
        <v>-0.01</v>
      </c>
      <c r="M23" s="288">
        <v>-0.01</v>
      </c>
    </row>
    <row r="24" spans="2:15" x14ac:dyDescent="0.25">
      <c r="B24" s="22" t="s">
        <v>287</v>
      </c>
      <c r="F24" s="280"/>
      <c r="G24" s="280"/>
      <c r="H24" s="287"/>
      <c r="I24" s="288">
        <v>0.01</v>
      </c>
      <c r="J24" s="288">
        <v>0.01</v>
      </c>
      <c r="K24" s="288">
        <v>0.01</v>
      </c>
      <c r="L24" s="288">
        <v>0.01</v>
      </c>
      <c r="M24" s="288">
        <v>0.01</v>
      </c>
    </row>
    <row r="25" spans="2:15" x14ac:dyDescent="0.25">
      <c r="F25" s="280"/>
      <c r="G25" s="280"/>
      <c r="H25" s="287"/>
    </row>
    <row r="26" spans="2:15" s="19" customFormat="1" x14ac:dyDescent="0.25">
      <c r="B26" s="19" t="s">
        <v>143</v>
      </c>
      <c r="H26" s="184"/>
      <c r="I26" s="330">
        <f ca="1">OFFSET(I26,Cover!$G$25,0)</f>
        <v>17.600000000000001</v>
      </c>
      <c r="J26" s="330">
        <f ca="1">OFFSET(J26,Cover!$G$25,0)</f>
        <v>17.600000000000001</v>
      </c>
      <c r="K26" s="330">
        <f ca="1">OFFSET(K26,Cover!$G$25,0)</f>
        <v>17.600000000000001</v>
      </c>
      <c r="L26" s="330">
        <f ca="1">OFFSET(L26,Cover!$G$25,0)</f>
        <v>17.600000000000001</v>
      </c>
      <c r="M26" s="330">
        <f ca="1">OFFSET(M26,Cover!$G$25,0)</f>
        <v>17.600000000000001</v>
      </c>
    </row>
    <row r="27" spans="2:15" x14ac:dyDescent="0.25">
      <c r="B27" s="22" t="s">
        <v>285</v>
      </c>
      <c r="H27" s="82"/>
      <c r="I27" s="331">
        <v>17.600000000000001</v>
      </c>
      <c r="J27" s="331">
        <v>17.600000000000001</v>
      </c>
      <c r="K27" s="331">
        <v>17.600000000000001</v>
      </c>
      <c r="L27" s="331">
        <v>17.600000000000001</v>
      </c>
      <c r="M27" s="331">
        <v>17.600000000000001</v>
      </c>
    </row>
    <row r="28" spans="2:15" x14ac:dyDescent="0.25">
      <c r="B28" s="22" t="s">
        <v>286</v>
      </c>
      <c r="H28" s="82"/>
      <c r="I28" s="332">
        <f>I27+1</f>
        <v>18.600000000000001</v>
      </c>
      <c r="J28" s="332">
        <f t="shared" ref="J28:M28" si="12">J27+1</f>
        <v>18.600000000000001</v>
      </c>
      <c r="K28" s="332">
        <f t="shared" si="12"/>
        <v>18.600000000000001</v>
      </c>
      <c r="L28" s="332">
        <f t="shared" si="12"/>
        <v>18.600000000000001</v>
      </c>
      <c r="M28" s="332">
        <f t="shared" si="12"/>
        <v>18.600000000000001</v>
      </c>
    </row>
    <row r="29" spans="2:15" x14ac:dyDescent="0.25">
      <c r="B29" s="22" t="s">
        <v>287</v>
      </c>
      <c r="H29" s="82"/>
      <c r="I29" s="332">
        <f>I27-1</f>
        <v>16.600000000000001</v>
      </c>
      <c r="J29" s="332">
        <f t="shared" ref="J29:M29" si="13">J27-1</f>
        <v>16.600000000000001</v>
      </c>
      <c r="K29" s="332">
        <f t="shared" si="13"/>
        <v>16.600000000000001</v>
      </c>
      <c r="L29" s="332">
        <f t="shared" si="13"/>
        <v>16.600000000000001</v>
      </c>
      <c r="M29" s="332">
        <f t="shared" si="13"/>
        <v>16.600000000000001</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6F0B1-7E7B-4695-8793-0C18012DAEB9}">
  <sheetPr>
    <tabColor theme="4" tint="-0.249977111117893"/>
  </sheetPr>
  <dimension ref="B1:V70"/>
  <sheetViews>
    <sheetView showGridLines="0" zoomScaleNormal="100" workbookViewId="0">
      <selection activeCell="L32" sqref="L32"/>
    </sheetView>
  </sheetViews>
  <sheetFormatPr defaultColWidth="12.7109375" defaultRowHeight="15.75" x14ac:dyDescent="0.25"/>
  <cols>
    <col min="1" max="1" width="5.7109375" style="1" customWidth="1"/>
    <col min="2" max="2" width="15.5703125" style="1" customWidth="1"/>
    <col min="3" max="16" width="12.7109375" style="1"/>
    <col min="17" max="17" width="20.85546875" style="1" bestFit="1" customWidth="1"/>
    <col min="18" max="18" width="19.85546875" style="1" bestFit="1" customWidth="1"/>
    <col min="19" max="19" width="19.7109375" style="1" bestFit="1" customWidth="1"/>
    <col min="20" max="22" width="22.7109375" style="1" bestFit="1" customWidth="1"/>
    <col min="23" max="16384" width="12.7109375" style="1"/>
  </cols>
  <sheetData>
    <row r="1" spans="2:15" s="6" customFormat="1" x14ac:dyDescent="0.25"/>
    <row r="2" spans="2:15" s="6" customFormat="1" ht="18.75" x14ac:dyDescent="0.25">
      <c r="B2" s="8" t="s">
        <v>51</v>
      </c>
    </row>
    <row r="3" spans="2:15" s="6" customFormat="1" x14ac:dyDescent="0.25">
      <c r="B3" s="18"/>
    </row>
    <row r="4" spans="2:15" s="6" customFormat="1" ht="16.5" thickBot="1" x14ac:dyDescent="0.3">
      <c r="B4" s="10" t="s">
        <v>5</v>
      </c>
      <c r="C4" s="10"/>
      <c r="D4" s="10"/>
      <c r="E4" s="10"/>
      <c r="F4" s="11">
        <v>2018</v>
      </c>
      <c r="G4" s="11">
        <v>2019</v>
      </c>
      <c r="H4" s="11">
        <v>2020</v>
      </c>
      <c r="I4" s="11">
        <v>2021</v>
      </c>
      <c r="J4" s="11">
        <v>2022</v>
      </c>
      <c r="K4" s="12">
        <f>J4+1</f>
        <v>2023</v>
      </c>
      <c r="L4" s="12">
        <f t="shared" ref="L4:O4" si="0">K4+1</f>
        <v>2024</v>
      </c>
      <c r="M4" s="12">
        <f t="shared" si="0"/>
        <v>2025</v>
      </c>
      <c r="N4" s="12">
        <f t="shared" si="0"/>
        <v>2026</v>
      </c>
      <c r="O4" s="12">
        <f t="shared" si="0"/>
        <v>2027</v>
      </c>
    </row>
    <row r="5" spans="2:15" s="9" customFormat="1" x14ac:dyDescent="0.25">
      <c r="B5" s="9" t="s">
        <v>4</v>
      </c>
      <c r="J5" s="17"/>
    </row>
    <row r="6" spans="2:15" x14ac:dyDescent="0.25">
      <c r="J6" s="82"/>
    </row>
    <row r="7" spans="2:15" x14ac:dyDescent="0.25">
      <c r="B7" s="19" t="s">
        <v>177</v>
      </c>
      <c r="J7" s="82"/>
    </row>
    <row r="8" spans="2:15" x14ac:dyDescent="0.25">
      <c r="B8" s="149" t="s">
        <v>55</v>
      </c>
      <c r="F8" s="83">
        <v>138.30000000000001</v>
      </c>
      <c r="G8" s="85">
        <f>F11</f>
        <v>103.49399999999997</v>
      </c>
      <c r="H8" s="85">
        <f t="shared" ref="H8:J8" si="1">G11</f>
        <v>268.28300000000002</v>
      </c>
      <c r="I8" s="85">
        <f t="shared" si="1"/>
        <v>1024.2080000000001</v>
      </c>
      <c r="J8" s="88">
        <f t="shared" si="1"/>
        <v>1120.7460000000001</v>
      </c>
      <c r="K8" s="85">
        <f>J11</f>
        <v>1723.4279999999999</v>
      </c>
      <c r="L8" s="85">
        <f t="shared" ref="L8:O8" ca="1" si="2">K11</f>
        <v>2457.6866108931476</v>
      </c>
      <c r="M8" s="85">
        <f t="shared" ca="1" si="2"/>
        <v>3333.3824321538145</v>
      </c>
      <c r="N8" s="85">
        <f t="shared" ca="1" si="2"/>
        <v>4475.8631507908412</v>
      </c>
      <c r="O8" s="85">
        <f t="shared" ca="1" si="2"/>
        <v>5861.0687284977121</v>
      </c>
    </row>
    <row r="9" spans="2:15" x14ac:dyDescent="0.25">
      <c r="B9" s="22" t="s">
        <v>56</v>
      </c>
      <c r="F9" s="83">
        <v>-100</v>
      </c>
      <c r="G9" s="83">
        <v>-100</v>
      </c>
      <c r="H9" s="83">
        <v>-100</v>
      </c>
      <c r="I9" s="83">
        <v>-100</v>
      </c>
      <c r="J9" s="84">
        <v>-100</v>
      </c>
      <c r="K9" s="83">
        <v>-100</v>
      </c>
      <c r="L9" s="83">
        <v>-100</v>
      </c>
      <c r="M9" s="83">
        <v>-100</v>
      </c>
      <c r="N9" s="83">
        <v>-100</v>
      </c>
      <c r="O9" s="83">
        <v>-100</v>
      </c>
    </row>
    <row r="10" spans="2:15" x14ac:dyDescent="0.25">
      <c r="B10" s="25" t="s">
        <v>57</v>
      </c>
      <c r="C10" s="24"/>
      <c r="D10" s="24"/>
      <c r="E10" s="24"/>
      <c r="F10" s="129">
        <f>'Cash Flow Statement'!F13+'Cash Flow Statement'!F15</f>
        <v>65.19399999999996</v>
      </c>
      <c r="G10" s="129">
        <f>'Cash Flow Statement'!G13+'Cash Flow Statement'!G15</f>
        <v>264.78900000000004</v>
      </c>
      <c r="H10" s="129">
        <f>'Cash Flow Statement'!H13+'Cash Flow Statement'!H15</f>
        <v>855.92500000000007</v>
      </c>
      <c r="I10" s="129">
        <f>'Cash Flow Statement'!I13+'Cash Flow Statement'!I15</f>
        <v>196.5379999999999</v>
      </c>
      <c r="J10" s="167">
        <f>'Cash Flow Statement'!J13+'Cash Flow Statement'!J15</f>
        <v>702.6819999999999</v>
      </c>
      <c r="K10" s="129">
        <f ca="1">'Cash Flow Statement'!K13+'Cash Flow Statement'!K15</f>
        <v>834.25861089314765</v>
      </c>
      <c r="L10" s="129">
        <f ca="1">'Cash Flow Statement'!L13+'Cash Flow Statement'!L15</f>
        <v>975.69582126066678</v>
      </c>
      <c r="M10" s="129">
        <f ca="1">'Cash Flow Statement'!M13+'Cash Flow Statement'!M15</f>
        <v>1242.4807186370272</v>
      </c>
      <c r="N10" s="129">
        <f ca="1">'Cash Flow Statement'!N13+'Cash Flow Statement'!N15</f>
        <v>1485.2055777068708</v>
      </c>
      <c r="O10" s="129">
        <f ca="1">'Cash Flow Statement'!O13+'Cash Flow Statement'!O15</f>
        <v>1773.6789724346831</v>
      </c>
    </row>
    <row r="11" spans="2:15" s="19" customFormat="1" x14ac:dyDescent="0.25">
      <c r="B11" s="19" t="s">
        <v>178</v>
      </c>
      <c r="F11" s="126">
        <f>SUM(F8:F10)</f>
        <v>103.49399999999997</v>
      </c>
      <c r="G11" s="126">
        <f t="shared" ref="G11:J11" si="3">SUM(G8:G10)</f>
        <v>268.28300000000002</v>
      </c>
      <c r="H11" s="126">
        <f t="shared" si="3"/>
        <v>1024.2080000000001</v>
      </c>
      <c r="I11" s="126">
        <f t="shared" si="3"/>
        <v>1120.7460000000001</v>
      </c>
      <c r="J11" s="168">
        <f t="shared" si="3"/>
        <v>1723.4279999999999</v>
      </c>
      <c r="K11" s="126">
        <f ca="1">SUM(K8:K10)</f>
        <v>2457.6866108931476</v>
      </c>
      <c r="L11" s="126">
        <f t="shared" ref="L11:O11" ca="1" si="4">SUM(L8:L10)</f>
        <v>3333.3824321538145</v>
      </c>
      <c r="M11" s="126">
        <f t="shared" ca="1" si="4"/>
        <v>4475.8631507908412</v>
      </c>
      <c r="N11" s="126">
        <f t="shared" ca="1" si="4"/>
        <v>5861.0687284977121</v>
      </c>
      <c r="O11" s="126">
        <f t="shared" ca="1" si="4"/>
        <v>7534.7477009323957</v>
      </c>
    </row>
    <row r="12" spans="2:15" x14ac:dyDescent="0.25">
      <c r="F12" s="85"/>
      <c r="G12" s="85"/>
      <c r="H12" s="85"/>
      <c r="I12" s="85"/>
      <c r="J12" s="88"/>
      <c r="K12" s="85"/>
      <c r="L12" s="85"/>
      <c r="M12" s="85"/>
      <c r="N12" s="85"/>
      <c r="O12" s="85"/>
    </row>
    <row r="13" spans="2:15" x14ac:dyDescent="0.25">
      <c r="B13" s="19" t="s">
        <v>192</v>
      </c>
      <c r="F13" s="85"/>
      <c r="G13" s="85"/>
      <c r="H13" s="85"/>
      <c r="I13" s="85"/>
      <c r="J13" s="88"/>
      <c r="K13" s="85"/>
      <c r="L13" s="85"/>
      <c r="M13" s="85"/>
      <c r="N13" s="85"/>
      <c r="O13" s="85"/>
    </row>
    <row r="14" spans="2:15" x14ac:dyDescent="0.25">
      <c r="B14" s="149" t="s">
        <v>60</v>
      </c>
      <c r="F14" s="83">
        <v>668.42700000000002</v>
      </c>
      <c r="G14" s="85">
        <f>F17</f>
        <v>1070.299</v>
      </c>
      <c r="H14" s="85">
        <f t="shared" ref="H14:J14" si="5">G17</f>
        <v>1346.29</v>
      </c>
      <c r="I14" s="85">
        <f t="shared" si="5"/>
        <v>148.50800000000001</v>
      </c>
      <c r="J14" s="88">
        <f t="shared" si="5"/>
        <v>1199.8409999999999</v>
      </c>
      <c r="K14" s="85">
        <f>J17</f>
        <v>786.91</v>
      </c>
      <c r="L14" s="85">
        <f t="shared" ref="L14:O14" ca="1" si="6">K17</f>
        <v>0</v>
      </c>
      <c r="M14" s="85">
        <f t="shared" ca="1" si="6"/>
        <v>0</v>
      </c>
      <c r="N14" s="85">
        <f t="shared" ca="1" si="6"/>
        <v>0</v>
      </c>
      <c r="O14" s="85">
        <f t="shared" ca="1" si="6"/>
        <v>0</v>
      </c>
    </row>
    <row r="15" spans="2:15" x14ac:dyDescent="0.25">
      <c r="B15" s="22" t="s">
        <v>58</v>
      </c>
      <c r="F15" s="83">
        <v>0</v>
      </c>
      <c r="G15" s="83">
        <v>0</v>
      </c>
      <c r="H15" s="85">
        <f>H17-H14</f>
        <v>-1197.7819999999999</v>
      </c>
      <c r="I15" s="83">
        <v>0</v>
      </c>
      <c r="J15" s="88">
        <f>J17-J14</f>
        <v>-412.93099999999993</v>
      </c>
      <c r="K15" s="85">
        <f ca="1">IF(K11&gt;-K9,-MIN(K11,K14),0)</f>
        <v>-786.91</v>
      </c>
      <c r="L15" s="85">
        <f t="shared" ref="L15:O15" ca="1" si="7">IF(L11&gt;-L9,-MIN(L11,L14),0)</f>
        <v>0</v>
      </c>
      <c r="M15" s="85">
        <f t="shared" ca="1" si="7"/>
        <v>0</v>
      </c>
      <c r="N15" s="85">
        <f t="shared" ca="1" si="7"/>
        <v>0</v>
      </c>
      <c r="O15" s="85">
        <f t="shared" ca="1" si="7"/>
        <v>0</v>
      </c>
    </row>
    <row r="16" spans="2:15" x14ac:dyDescent="0.25">
      <c r="B16" s="22" t="s">
        <v>59</v>
      </c>
      <c r="F16" s="85">
        <f>F17-F14</f>
        <v>401.87199999999996</v>
      </c>
      <c r="G16" s="85">
        <f>G17-G14</f>
        <v>275.99099999999999</v>
      </c>
      <c r="H16" s="83">
        <v>0</v>
      </c>
      <c r="I16" s="85">
        <f>I17-I14</f>
        <v>1051.3329999999999</v>
      </c>
      <c r="J16" s="84">
        <v>0</v>
      </c>
      <c r="K16" s="85">
        <f ca="1">IF(K11&lt;-K9,-K9-K11,0)</f>
        <v>0</v>
      </c>
      <c r="L16" s="85">
        <f t="shared" ref="L16:O16" ca="1" si="8">IF(L11&lt;L9,-L9-L11,0)</f>
        <v>0</v>
      </c>
      <c r="M16" s="85">
        <f t="shared" ca="1" si="8"/>
        <v>0</v>
      </c>
      <c r="N16" s="85">
        <f t="shared" ca="1" si="8"/>
        <v>0</v>
      </c>
      <c r="O16" s="85">
        <f t="shared" ca="1" si="8"/>
        <v>0</v>
      </c>
    </row>
    <row r="17" spans="2:22" s="19" customFormat="1" x14ac:dyDescent="0.25">
      <c r="B17" s="20" t="s">
        <v>61</v>
      </c>
      <c r="C17" s="20"/>
      <c r="D17" s="20"/>
      <c r="E17" s="20"/>
      <c r="F17" s="86">
        <v>1070.299</v>
      </c>
      <c r="G17" s="86">
        <v>1346.29</v>
      </c>
      <c r="H17" s="86">
        <v>148.50800000000001</v>
      </c>
      <c r="I17" s="86">
        <v>1199.8409999999999</v>
      </c>
      <c r="J17" s="87">
        <v>786.91</v>
      </c>
      <c r="K17" s="86">
        <f ca="1">SUM(K14:K16)</f>
        <v>0</v>
      </c>
      <c r="L17" s="86">
        <f t="shared" ref="L17:O17" ca="1" si="9">SUM(L14:L16)</f>
        <v>0</v>
      </c>
      <c r="M17" s="86">
        <f t="shared" ca="1" si="9"/>
        <v>0</v>
      </c>
      <c r="N17" s="86">
        <f t="shared" ca="1" si="9"/>
        <v>0</v>
      </c>
      <c r="O17" s="86">
        <f t="shared" ca="1" si="9"/>
        <v>0</v>
      </c>
      <c r="R17"/>
      <c r="S17"/>
      <c r="T17"/>
      <c r="U17"/>
      <c r="V17"/>
    </row>
    <row r="18" spans="2:22" x14ac:dyDescent="0.25">
      <c r="F18" s="85"/>
      <c r="G18" s="85"/>
      <c r="H18" s="85"/>
      <c r="I18" s="85"/>
      <c r="J18" s="88"/>
      <c r="K18" s="85"/>
      <c r="L18" s="85"/>
      <c r="M18" s="85"/>
      <c r="N18" s="85"/>
      <c r="O18" s="85"/>
      <c r="R18"/>
      <c r="S18"/>
      <c r="T18"/>
      <c r="U18"/>
      <c r="V18"/>
    </row>
    <row r="19" spans="2:22" x14ac:dyDescent="0.25">
      <c r="B19" s="19" t="s">
        <v>22</v>
      </c>
      <c r="F19" s="85"/>
      <c r="G19" s="85"/>
      <c r="H19" s="85"/>
      <c r="I19" s="85"/>
      <c r="J19" s="88"/>
      <c r="K19" s="85"/>
      <c r="L19" s="85"/>
      <c r="M19" s="85"/>
      <c r="N19" s="85"/>
      <c r="O19" s="85"/>
      <c r="R19"/>
      <c r="S19"/>
      <c r="T19"/>
      <c r="U19"/>
      <c r="V19"/>
    </row>
    <row r="20" spans="2:22" x14ac:dyDescent="0.25">
      <c r="B20" s="149" t="s">
        <v>60</v>
      </c>
      <c r="F20" s="83">
        <v>0</v>
      </c>
      <c r="G20" s="85">
        <f>F23</f>
        <v>33.421999999999997</v>
      </c>
      <c r="H20" s="85">
        <f t="shared" ref="H20:J20" si="10">G23</f>
        <v>6.5419999999999998</v>
      </c>
      <c r="I20" s="85">
        <f t="shared" si="10"/>
        <v>4.2329999999999997</v>
      </c>
      <c r="J20" s="88">
        <f t="shared" si="10"/>
        <v>15.7</v>
      </c>
      <c r="K20" s="85">
        <f>J23</f>
        <v>0</v>
      </c>
      <c r="L20" s="85">
        <f t="shared" ref="L20:O20" si="11">K23</f>
        <v>0</v>
      </c>
      <c r="M20" s="85">
        <f t="shared" si="11"/>
        <v>0</v>
      </c>
      <c r="N20" s="85">
        <f t="shared" si="11"/>
        <v>0</v>
      </c>
      <c r="O20" s="85">
        <f t="shared" si="11"/>
        <v>0</v>
      </c>
    </row>
    <row r="21" spans="2:22" x14ac:dyDescent="0.25">
      <c r="B21" s="22" t="s">
        <v>58</v>
      </c>
      <c r="F21" s="83">
        <v>0</v>
      </c>
      <c r="G21" s="85">
        <f>G23-G20</f>
        <v>-26.879999999999995</v>
      </c>
      <c r="H21" s="85">
        <f>H23-H20</f>
        <v>-2.3090000000000002</v>
      </c>
      <c r="I21" s="83">
        <v>0</v>
      </c>
      <c r="J21" s="88">
        <f>J23-J20</f>
        <v>-15.7</v>
      </c>
      <c r="K21" s="83">
        <v>0</v>
      </c>
      <c r="L21" s="83">
        <v>0</v>
      </c>
      <c r="M21" s="83">
        <v>0</v>
      </c>
      <c r="N21" s="83">
        <v>0</v>
      </c>
      <c r="O21" s="83">
        <v>0</v>
      </c>
    </row>
    <row r="22" spans="2:22" x14ac:dyDescent="0.25">
      <c r="B22" s="22" t="s">
        <v>62</v>
      </c>
      <c r="F22" s="85">
        <f>F23-F20</f>
        <v>33.421999999999997</v>
      </c>
      <c r="G22" s="83">
        <v>0</v>
      </c>
      <c r="H22" s="83">
        <v>0</v>
      </c>
      <c r="I22" s="85">
        <f>I23-I20</f>
        <v>11.466999999999999</v>
      </c>
      <c r="J22" s="84">
        <v>0</v>
      </c>
      <c r="K22" s="83">
        <v>0</v>
      </c>
      <c r="L22" s="83">
        <v>0</v>
      </c>
      <c r="M22" s="83">
        <v>0</v>
      </c>
      <c r="N22" s="83">
        <v>0</v>
      </c>
      <c r="O22" s="83">
        <v>0</v>
      </c>
    </row>
    <row r="23" spans="2:22" s="19" customFormat="1" x14ac:dyDescent="0.25">
      <c r="B23" s="20" t="s">
        <v>61</v>
      </c>
      <c r="C23" s="20"/>
      <c r="D23" s="20"/>
      <c r="E23" s="20"/>
      <c r="F23" s="86">
        <v>33.421999999999997</v>
      </c>
      <c r="G23" s="86">
        <v>6.5419999999999998</v>
      </c>
      <c r="H23" s="86">
        <v>4.2329999999999997</v>
      </c>
      <c r="I23" s="86">
        <v>15.7</v>
      </c>
      <c r="J23" s="87">
        <v>0</v>
      </c>
      <c r="K23" s="86">
        <f>SUM(K20:K22)</f>
        <v>0</v>
      </c>
      <c r="L23" s="86">
        <f t="shared" ref="L23:O23" si="12">SUM(L20:L22)</f>
        <v>0</v>
      </c>
      <c r="M23" s="86">
        <f t="shared" si="12"/>
        <v>0</v>
      </c>
      <c r="N23" s="86">
        <f t="shared" si="12"/>
        <v>0</v>
      </c>
      <c r="O23" s="86">
        <f t="shared" si="12"/>
        <v>0</v>
      </c>
    </row>
    <row r="24" spans="2:22" x14ac:dyDescent="0.25">
      <c r="F24" s="85"/>
      <c r="G24" s="85"/>
      <c r="H24" s="85"/>
      <c r="I24" s="85"/>
      <c r="J24" s="88"/>
      <c r="K24" s="85"/>
      <c r="L24" s="85"/>
      <c r="M24" s="85"/>
      <c r="N24" s="85"/>
      <c r="O24" s="85"/>
    </row>
    <row r="25" spans="2:22" x14ac:dyDescent="0.25">
      <c r="B25" s="19" t="s">
        <v>193</v>
      </c>
      <c r="F25" s="85"/>
      <c r="G25" s="85"/>
      <c r="H25" s="85"/>
      <c r="I25" s="85"/>
      <c r="J25" s="88"/>
      <c r="K25" s="85"/>
      <c r="L25" s="85"/>
      <c r="M25" s="85"/>
      <c r="N25" s="85"/>
      <c r="O25" s="85"/>
      <c r="Q25"/>
    </row>
    <row r="26" spans="2:22" x14ac:dyDescent="0.25">
      <c r="B26" s="22" t="s">
        <v>68</v>
      </c>
      <c r="F26" s="85">
        <v>32.223999999999997</v>
      </c>
      <c r="G26" s="85">
        <v>68.326999999999998</v>
      </c>
      <c r="H26" s="85">
        <v>10.531000000000001</v>
      </c>
      <c r="I26" s="85">
        <v>13.417999999999999</v>
      </c>
      <c r="J26" s="88">
        <v>37.494999999999997</v>
      </c>
      <c r="K26" s="85">
        <f ca="1">IF(Cover!$G$17=1,K31*K$35,0)</f>
        <v>41.269326812895869</v>
      </c>
      <c r="L26" s="85">
        <f ca="1">IF(Cover!$G$17=1,L31*L$35,0)</f>
        <v>50.183700874305487</v>
      </c>
      <c r="M26" s="85">
        <f ca="1">IF(Cover!$G$17=1,M31*M$35,0)</f>
        <v>58.337590926082839</v>
      </c>
      <c r="N26" s="85">
        <f ca="1">IF(Cover!$G$17=1,N31*N$35,0)</f>
        <v>67.350468349795207</v>
      </c>
      <c r="O26" s="85">
        <f ca="1">IF(Cover!$G$17=1,O31*O$35,0)</f>
        <v>75.052263966145475</v>
      </c>
      <c r="Q26"/>
    </row>
    <row r="27" spans="2:22" x14ac:dyDescent="0.25">
      <c r="B27" s="22" t="s">
        <v>69</v>
      </c>
      <c r="F27" s="85">
        <f>F28-F26</f>
        <v>-29.766999999999889</v>
      </c>
      <c r="G27" s="85">
        <f t="shared" ref="G27:J27" si="13">G28-G26</f>
        <v>-54.095000000000027</v>
      </c>
      <c r="H27" s="85">
        <f t="shared" si="13"/>
        <v>1025.7860000000001</v>
      </c>
      <c r="I27" s="85">
        <f t="shared" si="13"/>
        <v>2524.6329999999998</v>
      </c>
      <c r="J27" s="88">
        <f t="shared" si="13"/>
        <v>2905.5220000000004</v>
      </c>
      <c r="K27" s="85">
        <f ca="1">IF(Cover!$G$17=1,K32*K$35,0)</f>
        <v>3197.9980525419078</v>
      </c>
      <c r="L27" s="85">
        <f ca="1">IF(Cover!$G$17=1,L32*L$35,0)</f>
        <v>3888.7810889909015</v>
      </c>
      <c r="M27" s="85">
        <f ca="1">IF(Cover!$G$17=1,M32*M$35,0)</f>
        <v>4520.6335208090168</v>
      </c>
      <c r="N27" s="85">
        <f ca="1">IF(Cover!$G$17=1,N32*N$35,0)</f>
        <v>5219.049673306673</v>
      </c>
      <c r="O27" s="85">
        <f ca="1">IF(Cover!$G$17=1,O32*O$35,0)</f>
        <v>5815.8688919440719</v>
      </c>
      <c r="Q27"/>
    </row>
    <row r="28" spans="2:22" x14ac:dyDescent="0.25">
      <c r="B28" s="33" t="s">
        <v>179</v>
      </c>
      <c r="C28" s="21"/>
      <c r="D28" s="21"/>
      <c r="E28" s="21"/>
      <c r="F28" s="134">
        <v>2.4570000000001073</v>
      </c>
      <c r="G28" s="134">
        <v>14.231999999999971</v>
      </c>
      <c r="H28" s="134">
        <v>1036.317</v>
      </c>
      <c r="I28" s="134">
        <v>2538.0509999999999</v>
      </c>
      <c r="J28" s="135">
        <v>2943.0170000000003</v>
      </c>
      <c r="K28" s="86">
        <f ca="1">IF(Cover!$G$17=1,SUM(K26:K27),0)</f>
        <v>3239.2673793548038</v>
      </c>
      <c r="L28" s="86">
        <f ca="1">IF(Cover!$G$17=1,SUM(L26:L27),0)</f>
        <v>3938.964789865207</v>
      </c>
      <c r="M28" s="86">
        <f ca="1">IF(Cover!$G$17=1,SUM(M26:M27),0)</f>
        <v>4578.9711117350998</v>
      </c>
      <c r="N28" s="86">
        <f ca="1">IF(Cover!$G$17=1,SUM(N26:N27),0)</f>
        <v>5286.4001416564679</v>
      </c>
      <c r="O28" s="86">
        <f ca="1">IF(Cover!$G$17=1,SUM(O26:O27),0)</f>
        <v>5890.9211559102177</v>
      </c>
      <c r="Q28"/>
    </row>
    <row r="29" spans="2:22" x14ac:dyDescent="0.25">
      <c r="J29" s="82"/>
      <c r="Q29"/>
    </row>
    <row r="30" spans="2:22" x14ac:dyDescent="0.25">
      <c r="B30" s="150" t="s">
        <v>71</v>
      </c>
      <c r="C30" s="151"/>
      <c r="D30" s="151"/>
      <c r="E30" s="151"/>
      <c r="F30" s="137">
        <f>F23/F$40</f>
        <v>3.0213943867985073E-2</v>
      </c>
      <c r="G30" s="137">
        <f t="shared" ref="G30:J30" si="14">G23/G$40</f>
        <v>4.7854379897356676E-3</v>
      </c>
      <c r="H30" s="137">
        <f t="shared" si="14"/>
        <v>3.5599609102331424E-3</v>
      </c>
      <c r="I30" s="137">
        <f t="shared" si="14"/>
        <v>4.182660235848755E-3</v>
      </c>
      <c r="J30" s="137">
        <f t="shared" si="14"/>
        <v>0</v>
      </c>
      <c r="K30" s="147">
        <f>J30</f>
        <v>0</v>
      </c>
      <c r="L30" s="137">
        <f t="shared" ref="L30:O30" si="15">K30</f>
        <v>0</v>
      </c>
      <c r="M30" s="137">
        <f t="shared" si="15"/>
        <v>0</v>
      </c>
      <c r="N30" s="137">
        <f t="shared" si="15"/>
        <v>0</v>
      </c>
      <c r="O30" s="138">
        <f t="shared" si="15"/>
        <v>0</v>
      </c>
      <c r="Q30"/>
    </row>
    <row r="31" spans="2:22" x14ac:dyDescent="0.25">
      <c r="B31" s="152" t="s">
        <v>70</v>
      </c>
      <c r="C31" s="153"/>
      <c r="D31" s="153"/>
      <c r="E31" s="153"/>
      <c r="F31" s="139">
        <f>F26/F$40</f>
        <v>2.9130935527555232E-2</v>
      </c>
      <c r="G31" s="139">
        <f t="shared" ref="G31:J31" si="16">G26/G$40</f>
        <v>4.9980834840212311E-2</v>
      </c>
      <c r="H31" s="139">
        <f t="shared" si="16"/>
        <v>8.8565906793444896E-3</v>
      </c>
      <c r="I31" s="139">
        <f t="shared" si="16"/>
        <v>3.5747092385107386E-3</v>
      </c>
      <c r="J31" s="139">
        <f t="shared" si="16"/>
        <v>1.0052475557832632E-2</v>
      </c>
      <c r="K31" s="146">
        <f>J31</f>
        <v>1.0052475557832632E-2</v>
      </c>
      <c r="L31" s="139">
        <f t="shared" ref="L31:O31" si="17">K31</f>
        <v>1.0052475557832632E-2</v>
      </c>
      <c r="M31" s="139">
        <f t="shared" si="17"/>
        <v>1.0052475557832632E-2</v>
      </c>
      <c r="N31" s="139">
        <f t="shared" si="17"/>
        <v>1.0052475557832632E-2</v>
      </c>
      <c r="O31" s="140">
        <f t="shared" si="17"/>
        <v>1.0052475557832632E-2</v>
      </c>
      <c r="Q31"/>
    </row>
    <row r="32" spans="2:22" x14ac:dyDescent="0.25">
      <c r="B32" s="154" t="s">
        <v>195</v>
      </c>
      <c r="C32" s="155"/>
      <c r="D32" s="155"/>
      <c r="E32" s="155"/>
      <c r="F32" s="141">
        <f>F27/F$40</f>
        <v>-2.6909774014670231E-2</v>
      </c>
      <c r="G32" s="141">
        <f t="shared" ref="G32:J32" si="18">G27/G$40</f>
        <v>-3.9570203004394844E-2</v>
      </c>
      <c r="H32" s="141">
        <f t="shared" si="18"/>
        <v>0.86268794289260919</v>
      </c>
      <c r="I32" s="141">
        <f t="shared" si="18"/>
        <v>0.67259121396251909</v>
      </c>
      <c r="J32" s="141">
        <f t="shared" si="18"/>
        <v>0.77897556708214399</v>
      </c>
      <c r="K32" s="148">
        <f>J32</f>
        <v>0.77897556708214399</v>
      </c>
      <c r="L32" s="141">
        <f t="shared" ref="L32:O32" si="19">K32</f>
        <v>0.77897556708214399</v>
      </c>
      <c r="M32" s="141">
        <f t="shared" si="19"/>
        <v>0.77897556708214399</v>
      </c>
      <c r="N32" s="141">
        <f t="shared" si="19"/>
        <v>0.77897556708214399</v>
      </c>
      <c r="O32" s="142">
        <f t="shared" si="19"/>
        <v>0.77897556708214399</v>
      </c>
      <c r="Q32"/>
    </row>
    <row r="33" spans="2:15" x14ac:dyDescent="0.25">
      <c r="J33" s="82"/>
    </row>
    <row r="34" spans="2:15" x14ac:dyDescent="0.25">
      <c r="B34" s="19" t="s">
        <v>210</v>
      </c>
      <c r="J34" s="82"/>
    </row>
    <row r="35" spans="2:15" x14ac:dyDescent="0.25">
      <c r="B35" s="1" t="s">
        <v>63</v>
      </c>
      <c r="F35" s="85">
        <f>F40</f>
        <v>1106.1780000000001</v>
      </c>
      <c r="G35" s="85">
        <f t="shared" ref="G35:J35" si="20">G40</f>
        <v>1367.0639999999999</v>
      </c>
      <c r="H35" s="85">
        <f t="shared" si="20"/>
        <v>1189.058</v>
      </c>
      <c r="I35" s="85">
        <f t="shared" si="20"/>
        <v>3753.5919999999996</v>
      </c>
      <c r="J35" s="88">
        <f t="shared" si="20"/>
        <v>3729.9270000000001</v>
      </c>
      <c r="K35" s="85">
        <f ca="1">K36*K37</f>
        <v>4105.389421289352</v>
      </c>
      <c r="L35" s="85">
        <f t="shared" ref="L35:O35" ca="1" si="21">L36*L37</f>
        <v>4992.17337914377</v>
      </c>
      <c r="M35" s="85">
        <f t="shared" ca="1" si="21"/>
        <v>5803.3059210601787</v>
      </c>
      <c r="N35" s="85">
        <f t="shared" ca="1" si="21"/>
        <v>6699.8887947872145</v>
      </c>
      <c r="O35" s="85">
        <f t="shared" ca="1" si="21"/>
        <v>7466.0478938112583</v>
      </c>
    </row>
    <row r="36" spans="2:15" x14ac:dyDescent="0.25">
      <c r="B36" s="1" t="s">
        <v>184</v>
      </c>
      <c r="F36" s="97">
        <f>'Income Statement'!F$61</f>
        <v>824.90899999999999</v>
      </c>
      <c r="G36" s="97">
        <f>'Income Statement'!G$61</f>
        <v>941.80500000000052</v>
      </c>
      <c r="H36" s="97">
        <f>'Income Statement'!H$61</f>
        <v>1049.9339999999986</v>
      </c>
      <c r="I36" s="97">
        <f>'Income Statement'!I$61</f>
        <v>1259.1850000000006</v>
      </c>
      <c r="J36" s="167">
        <f>'Income Statement'!J$61</f>
        <v>1684.9379999999994</v>
      </c>
      <c r="K36" s="97">
        <f ca="1">'Income Statement'!K$61</f>
        <v>1854.547459167012</v>
      </c>
      <c r="L36" s="97">
        <f ca="1">'Income Statement'!L$61</f>
        <v>2255.1386740565545</v>
      </c>
      <c r="M36" s="97">
        <f ca="1">'Income Statement'!M$61</f>
        <v>2621.5555081960833</v>
      </c>
      <c r="N36" s="97">
        <f ca="1">'Income Statement'!N$61</f>
        <v>3026.5732348411043</v>
      </c>
      <c r="O36" s="97">
        <f ca="1">'Income Statement'!O$61</f>
        <v>3372.6739976687345</v>
      </c>
    </row>
    <row r="37" spans="2:15" x14ac:dyDescent="0.25">
      <c r="B37" s="20" t="s">
        <v>210</v>
      </c>
      <c r="C37" s="20"/>
      <c r="D37" s="20"/>
      <c r="E37" s="20"/>
      <c r="F37" s="169">
        <f>F35/F36</f>
        <v>1.340969731206715</v>
      </c>
      <c r="G37" s="169">
        <f t="shared" ref="G37:J37" si="22">G35/G36</f>
        <v>1.4515361460174867</v>
      </c>
      <c r="H37" s="169">
        <f t="shared" si="22"/>
        <v>1.1325073766541531</v>
      </c>
      <c r="I37" s="169">
        <f t="shared" si="22"/>
        <v>2.9809694365800081</v>
      </c>
      <c r="J37" s="170">
        <f t="shared" si="22"/>
        <v>2.2136879813975359</v>
      </c>
      <c r="K37" s="169">
        <f>J37</f>
        <v>2.2136879813975359</v>
      </c>
      <c r="L37" s="169">
        <f t="shared" ref="L37:O37" si="23">K37</f>
        <v>2.2136879813975359</v>
      </c>
      <c r="M37" s="169">
        <f t="shared" si="23"/>
        <v>2.2136879813975359</v>
      </c>
      <c r="N37" s="169">
        <f t="shared" si="23"/>
        <v>2.2136879813975359</v>
      </c>
      <c r="O37" s="169">
        <f t="shared" si="23"/>
        <v>2.2136879813975359</v>
      </c>
    </row>
    <row r="38" spans="2:15" x14ac:dyDescent="0.25">
      <c r="J38" s="82"/>
    </row>
    <row r="39" spans="2:15" x14ac:dyDescent="0.25">
      <c r="B39" s="19" t="s">
        <v>67</v>
      </c>
      <c r="J39" s="82"/>
    </row>
    <row r="40" spans="2:15" x14ac:dyDescent="0.25">
      <c r="B40" s="149" t="s">
        <v>63</v>
      </c>
      <c r="F40" s="85">
        <f>SUM(F28,F23,F17)</f>
        <v>1106.1780000000001</v>
      </c>
      <c r="G40" s="85">
        <f t="shared" ref="G40:J40" si="24">SUM(G28,G23,G17)</f>
        <v>1367.0639999999999</v>
      </c>
      <c r="H40" s="85">
        <f t="shared" si="24"/>
        <v>1189.058</v>
      </c>
      <c r="I40" s="85">
        <f t="shared" si="24"/>
        <v>3753.5919999999996</v>
      </c>
      <c r="J40" s="88">
        <f t="shared" si="24"/>
        <v>3729.9270000000001</v>
      </c>
      <c r="K40" s="85">
        <f ca="1">K35</f>
        <v>4105.389421289352</v>
      </c>
      <c r="L40" s="85">
        <f t="shared" ref="L40:O40" ca="1" si="25">L35</f>
        <v>4992.17337914377</v>
      </c>
      <c r="M40" s="85">
        <f t="shared" ca="1" si="25"/>
        <v>5803.3059210601787</v>
      </c>
      <c r="N40" s="85">
        <f t="shared" ca="1" si="25"/>
        <v>6699.8887947872145</v>
      </c>
      <c r="O40" s="85">
        <f t="shared" ca="1" si="25"/>
        <v>7466.0478938112583</v>
      </c>
    </row>
    <row r="41" spans="2:15" x14ac:dyDescent="0.25">
      <c r="B41" s="22" t="s">
        <v>194</v>
      </c>
      <c r="F41" s="97">
        <f>-('Balance Sheet'!F$8+F9)</f>
        <v>21.313000000000002</v>
      </c>
      <c r="G41" s="97">
        <f>-('Balance Sheet'!G$8+G9)</f>
        <v>-64.798000000000002</v>
      </c>
      <c r="H41" s="97">
        <f>-('Balance Sheet'!H$8+H9)</f>
        <v>-84.62</v>
      </c>
      <c r="I41" s="97">
        <f>-('Balance Sheet'!I$8+I9)</f>
        <v>-129.09700000000001</v>
      </c>
      <c r="J41" s="167">
        <f>-('Balance Sheet'!J$8+J9)</f>
        <v>-328.505</v>
      </c>
      <c r="K41" s="97">
        <f ca="1">-('Balance Sheet'!K$8+K9)</f>
        <v>-506.10506522470553</v>
      </c>
      <c r="L41" s="97">
        <f ca="1">-('Balance Sheet'!L$8+L9)</f>
        <v>-1994.8532746124192</v>
      </c>
      <c r="M41" s="97">
        <f ca="1">-('Balance Sheet'!M$8+M9)</f>
        <v>-3662.5955856779065</v>
      </c>
      <c r="N41" s="97">
        <f ca="1">-('Balance Sheet'!N$8+N9)</f>
        <v>-5615.6948408239614</v>
      </c>
      <c r="O41" s="97">
        <f ca="1">-('Balance Sheet'!O$8+O9)</f>
        <v>-7730.8174693990986</v>
      </c>
    </row>
    <row r="42" spans="2:15" s="19" customFormat="1" x14ac:dyDescent="0.25">
      <c r="B42" s="20" t="s">
        <v>64</v>
      </c>
      <c r="C42" s="20"/>
      <c r="D42" s="20"/>
      <c r="E42" s="20"/>
      <c r="F42" s="86">
        <f>SUM(F40:F41)</f>
        <v>1127.4910000000002</v>
      </c>
      <c r="G42" s="86">
        <f t="shared" ref="G42:J42" si="26">SUM(G40:G41)</f>
        <v>1302.2659999999998</v>
      </c>
      <c r="H42" s="86">
        <f t="shared" si="26"/>
        <v>1104.4380000000001</v>
      </c>
      <c r="I42" s="86">
        <f t="shared" si="26"/>
        <v>3624.4949999999994</v>
      </c>
      <c r="J42" s="86">
        <f t="shared" si="26"/>
        <v>3401.422</v>
      </c>
      <c r="K42" s="133">
        <f ca="1">SUM(K40:K41)</f>
        <v>3599.2843560646465</v>
      </c>
      <c r="L42" s="86">
        <f t="shared" ref="L42:O42" ca="1" si="27">SUM(L40:L41)</f>
        <v>2997.3201045313508</v>
      </c>
      <c r="M42" s="86">
        <f t="shared" ca="1" si="27"/>
        <v>2140.7103353822722</v>
      </c>
      <c r="N42" s="86">
        <f t="shared" ca="1" si="27"/>
        <v>1084.1939539632531</v>
      </c>
      <c r="O42" s="86">
        <f t="shared" ca="1" si="27"/>
        <v>-264.76957558784034</v>
      </c>
    </row>
    <row r="43" spans="2:15" x14ac:dyDescent="0.25">
      <c r="B43" s="149" t="s">
        <v>184</v>
      </c>
      <c r="F43" s="97">
        <f>'Income Statement'!F$61</f>
        <v>824.90899999999999</v>
      </c>
      <c r="G43" s="97">
        <f>'Income Statement'!G$61</f>
        <v>941.80500000000052</v>
      </c>
      <c r="H43" s="97">
        <f>'Income Statement'!H$61</f>
        <v>1049.9339999999986</v>
      </c>
      <c r="I43" s="97">
        <f>'Income Statement'!I$61</f>
        <v>1259.1850000000006</v>
      </c>
      <c r="J43" s="167">
        <f>'Income Statement'!J$61</f>
        <v>1684.9379999999994</v>
      </c>
      <c r="K43" s="97">
        <f ca="1">'Income Statement'!K$61</f>
        <v>1854.547459167012</v>
      </c>
      <c r="L43" s="97">
        <f ca="1">'Income Statement'!L$61</f>
        <v>2255.1386740565545</v>
      </c>
      <c r="M43" s="97">
        <f ca="1">'Income Statement'!M$61</f>
        <v>2621.5555081960833</v>
      </c>
      <c r="N43" s="97">
        <f ca="1">'Income Statement'!N$61</f>
        <v>3026.5732348411043</v>
      </c>
      <c r="O43" s="97">
        <f ca="1">'Income Statement'!O$61</f>
        <v>3372.6739976687345</v>
      </c>
    </row>
    <row r="44" spans="2:15" s="19" customFormat="1" x14ac:dyDescent="0.25">
      <c r="B44" s="20" t="s">
        <v>66</v>
      </c>
      <c r="C44" s="20"/>
      <c r="D44" s="20"/>
      <c r="E44" s="20"/>
      <c r="F44" s="169">
        <f>F42/F43</f>
        <v>1.3668065204768043</v>
      </c>
      <c r="G44" s="169">
        <f t="shared" ref="G44:J44" si="28">G42/G43</f>
        <v>1.3827342178051711</v>
      </c>
      <c r="H44" s="169">
        <f t="shared" si="28"/>
        <v>1.0519118344581675</v>
      </c>
      <c r="I44" s="169">
        <f t="shared" si="28"/>
        <v>2.8784451847822186</v>
      </c>
      <c r="J44" s="170">
        <f t="shared" si="28"/>
        <v>2.0187223506146821</v>
      </c>
      <c r="K44" s="169">
        <f ca="1">K42/K43</f>
        <v>1.9407884863088378</v>
      </c>
      <c r="L44" s="169">
        <f t="shared" ref="L44:O44" ca="1" si="29">L42/L43</f>
        <v>1.3291067813314366</v>
      </c>
      <c r="M44" s="169">
        <f t="shared" ca="1" si="29"/>
        <v>0.81658020541221144</v>
      </c>
      <c r="N44" s="169">
        <f t="shared" ca="1" si="29"/>
        <v>0.35822491968220077</v>
      </c>
      <c r="O44" s="169">
        <f t="shared" ca="1" si="29"/>
        <v>-7.8504348706947308E-2</v>
      </c>
    </row>
    <row r="45" spans="2:15" s="19" customFormat="1" x14ac:dyDescent="0.25">
      <c r="J45" s="184"/>
    </row>
    <row r="46" spans="2:15" s="19" customFormat="1" x14ac:dyDescent="0.25">
      <c r="B46" s="19" t="s">
        <v>74</v>
      </c>
      <c r="F46" s="85">
        <f>F54</f>
        <v>36.9</v>
      </c>
      <c r="G46" s="85">
        <f t="shared" ref="G46:J46" si="30">G54</f>
        <v>66.900000000000006</v>
      </c>
      <c r="H46" s="85">
        <f t="shared" si="30"/>
        <v>45</v>
      </c>
      <c r="I46" s="85">
        <f t="shared" si="30"/>
        <v>68.900000000000006</v>
      </c>
      <c r="J46" s="88">
        <f t="shared" si="30"/>
        <v>124.4</v>
      </c>
      <c r="K46" s="85">
        <f ca="1">IF(Cover!$G$17=1,K54,0)</f>
        <v>78.714197318321737</v>
      </c>
      <c r="L46" s="85">
        <f ca="1">IF(Cover!$G$17=1,L54,0)</f>
        <v>118.1689436959562</v>
      </c>
      <c r="M46" s="85">
        <f ca="1">IF(Cover!$G$17=1,M54,0)</f>
        <v>137.36913335205298</v>
      </c>
      <c r="N46" s="85">
        <f ca="1">IF(Cover!$G$17=1,N54,0)</f>
        <v>158.59200424969404</v>
      </c>
      <c r="O46" s="85">
        <f ca="1">IF(Cover!$G$17=1,O54,0)</f>
        <v>176.72763467730653</v>
      </c>
    </row>
    <row r="47" spans="2:15" x14ac:dyDescent="0.25">
      <c r="B47" s="1" t="s">
        <v>184</v>
      </c>
      <c r="F47" s="97">
        <f>'Income Statement'!F$61</f>
        <v>824.90899999999999</v>
      </c>
      <c r="G47" s="97">
        <f>'Income Statement'!G$61</f>
        <v>941.80500000000052</v>
      </c>
      <c r="H47" s="97">
        <f>'Income Statement'!H$61</f>
        <v>1049.9339999999986</v>
      </c>
      <c r="I47" s="97">
        <f>'Income Statement'!I$61</f>
        <v>1259.1850000000006</v>
      </c>
      <c r="J47" s="167">
        <f>'Income Statement'!J$61</f>
        <v>1684.9379999999994</v>
      </c>
      <c r="K47" s="97">
        <f ca="1">'Income Statement'!K$61</f>
        <v>1854.547459167012</v>
      </c>
      <c r="L47" s="97">
        <f ca="1">'Income Statement'!L$61</f>
        <v>2255.1386740565545</v>
      </c>
      <c r="M47" s="97">
        <f ca="1">'Income Statement'!M$61</f>
        <v>2621.5555081960833</v>
      </c>
      <c r="N47" s="97">
        <f ca="1">'Income Statement'!N$61</f>
        <v>3026.5732348411043</v>
      </c>
      <c r="O47" s="97">
        <f ca="1">'Income Statement'!O$61</f>
        <v>3372.6739976687345</v>
      </c>
    </row>
    <row r="48" spans="2:15" x14ac:dyDescent="0.25">
      <c r="B48" s="20" t="s">
        <v>196</v>
      </c>
      <c r="C48" s="20"/>
      <c r="D48" s="20"/>
      <c r="E48" s="20"/>
      <c r="F48" s="169">
        <f>F47/F46</f>
        <v>22.355257452574527</v>
      </c>
      <c r="G48" s="169">
        <f t="shared" ref="G48:J48" si="31">G47/G46</f>
        <v>14.077802690582967</v>
      </c>
      <c r="H48" s="169">
        <f t="shared" si="31"/>
        <v>23.331866666666635</v>
      </c>
      <c r="I48" s="169">
        <f t="shared" si="31"/>
        <v>18.275544267053707</v>
      </c>
      <c r="J48" s="170">
        <f t="shared" si="31"/>
        <v>13.544517684887454</v>
      </c>
      <c r="K48" s="169">
        <f ca="1">IF(Cover!$G$17=1,K47/K46,0)</f>
        <v>23.560520495015481</v>
      </c>
      <c r="L48" s="169">
        <f ca="1">IF(Cover!$G$17=1,L47/L46,0)</f>
        <v>19.08402160096254</v>
      </c>
      <c r="M48" s="169">
        <f ca="1">IF(Cover!$G$17=1,M47/M46,0)</f>
        <v>19.084021600962544</v>
      </c>
      <c r="N48" s="169">
        <f ca="1">IF(Cover!$G$17=1,N47/N46,0)</f>
        <v>19.08402160096254</v>
      </c>
      <c r="O48" s="169">
        <f ca="1">IF(Cover!$G$17=1,O47/O46,0)</f>
        <v>19.08402160096254</v>
      </c>
    </row>
    <row r="49" spans="2:17" x14ac:dyDescent="0.25">
      <c r="J49" s="82"/>
    </row>
    <row r="50" spans="2:17" x14ac:dyDescent="0.25">
      <c r="B50" s="19" t="s">
        <v>9</v>
      </c>
      <c r="J50" s="82"/>
      <c r="K50" s="85"/>
      <c r="L50" s="85"/>
      <c r="M50" s="85"/>
      <c r="N50" s="85"/>
      <c r="O50" s="85"/>
    </row>
    <row r="51" spans="2:17" x14ac:dyDescent="0.25">
      <c r="B51" s="22" t="s">
        <v>197</v>
      </c>
      <c r="J51" s="82"/>
      <c r="K51" s="85">
        <f ca="1">IF(Cover!$G$17=1,K60*K17,0)</f>
        <v>0</v>
      </c>
      <c r="L51" s="85">
        <f ca="1">IF(Cover!$G$17=1,L60*L17,0)</f>
        <v>0</v>
      </c>
      <c r="M51" s="85">
        <f ca="1">IF(Cover!$G$17=1,M60*M17,0)</f>
        <v>0</v>
      </c>
      <c r="N51" s="85">
        <f ca="1">IF(Cover!$G$17=1,N60*N17,0)</f>
        <v>0</v>
      </c>
      <c r="O51" s="85">
        <f ca="1">IF(Cover!$G$17=1,O60*O17,0)</f>
        <v>0</v>
      </c>
    </row>
    <row r="52" spans="2:17" x14ac:dyDescent="0.25">
      <c r="B52" s="22" t="s">
        <v>72</v>
      </c>
      <c r="J52" s="82"/>
      <c r="K52" s="85">
        <f ca="1">IF(Cover!$G$17=1,K61*K23,0)</f>
        <v>0</v>
      </c>
      <c r="L52" s="85">
        <f>IF(Cover!$G$17=1,L61*L23,0)</f>
        <v>0</v>
      </c>
      <c r="M52" s="85">
        <f>IF(Cover!$G$17=1,M61*M23,0)</f>
        <v>0</v>
      </c>
      <c r="N52" s="85">
        <f>IF(Cover!$G$17=1,N61*N23,0)</f>
        <v>0</v>
      </c>
      <c r="O52" s="85">
        <f>IF(Cover!$G$17=1,O61*O23,0)</f>
        <v>0</v>
      </c>
    </row>
    <row r="53" spans="2:17" x14ac:dyDescent="0.25">
      <c r="B53" s="22" t="s">
        <v>73</v>
      </c>
      <c r="J53" s="82"/>
      <c r="K53" s="85">
        <f ca="1">IF(Cover!$G$17=1,K62*K28,0)</f>
        <v>78.714197318321737</v>
      </c>
      <c r="L53" s="85">
        <f ca="1">IF(Cover!$G$17=1,L62*L28,0)</f>
        <v>118.1689436959562</v>
      </c>
      <c r="M53" s="85">
        <f ca="1">IF(Cover!$G$17=1,M62*M28,0)</f>
        <v>137.36913335205298</v>
      </c>
      <c r="N53" s="85">
        <f ca="1">IF(Cover!$G$17=1,N62*N28,0)</f>
        <v>158.59200424969404</v>
      </c>
      <c r="O53" s="85">
        <f ca="1">IF(Cover!$G$17=1,O62*O28,0)</f>
        <v>176.72763467730653</v>
      </c>
    </row>
    <row r="54" spans="2:17" s="19" customFormat="1" x14ac:dyDescent="0.25">
      <c r="B54" s="20" t="s">
        <v>74</v>
      </c>
      <c r="C54" s="20"/>
      <c r="D54" s="20"/>
      <c r="E54" s="20"/>
      <c r="F54" s="86">
        <v>36.9</v>
      </c>
      <c r="G54" s="86">
        <v>66.900000000000006</v>
      </c>
      <c r="H54" s="86">
        <v>45</v>
      </c>
      <c r="I54" s="86">
        <v>68.900000000000006</v>
      </c>
      <c r="J54" s="87">
        <v>124.4</v>
      </c>
      <c r="K54" s="86">
        <f ca="1">IF(Cover!$G$17=1,SUM(K51:K53),0)</f>
        <v>78.714197318321737</v>
      </c>
      <c r="L54" s="86">
        <f ca="1">IF(Cover!$G$17=1,SUM(L51:L53),0)</f>
        <v>118.1689436959562</v>
      </c>
      <c r="M54" s="86">
        <f ca="1">IF(Cover!$G$17=1,SUM(M51:M53),0)</f>
        <v>137.36913335205298</v>
      </c>
      <c r="N54" s="86">
        <f ca="1">IF(Cover!$G$17=1,SUM(N51:N53),0)</f>
        <v>158.59200424969404</v>
      </c>
      <c r="O54" s="86">
        <f ca="1">IF(Cover!$G$17=1,SUM(O51:O53),0)</f>
        <v>176.72763467730653</v>
      </c>
      <c r="Q54"/>
    </row>
    <row r="55" spans="2:17" s="19" customFormat="1" x14ac:dyDescent="0.25">
      <c r="F55" s="126"/>
      <c r="G55" s="126"/>
      <c r="H55" s="126"/>
      <c r="I55" s="126"/>
      <c r="J55" s="168"/>
      <c r="K55" s="126"/>
      <c r="Q55"/>
    </row>
    <row r="56" spans="2:17" s="19" customFormat="1" x14ac:dyDescent="0.25">
      <c r="B56" s="19" t="s">
        <v>171</v>
      </c>
      <c r="F56" s="126"/>
      <c r="G56" s="126"/>
      <c r="H56" s="126"/>
      <c r="I56" s="126"/>
      <c r="J56" s="168"/>
      <c r="K56" s="126"/>
      <c r="Q56"/>
    </row>
    <row r="57" spans="2:17" s="19" customFormat="1" x14ac:dyDescent="0.25">
      <c r="B57" s="22" t="s">
        <v>198</v>
      </c>
      <c r="F57" s="97">
        <f>'Balance Sheet'!F8</f>
        <v>78.686999999999998</v>
      </c>
      <c r="G57" s="97">
        <f>'Balance Sheet'!G8</f>
        <v>164.798</v>
      </c>
      <c r="H57" s="97">
        <f>'Balance Sheet'!H8</f>
        <v>184.62</v>
      </c>
      <c r="I57" s="97">
        <f>'Balance Sheet'!I8</f>
        <v>229.09700000000001</v>
      </c>
      <c r="J57" s="98">
        <f>'Balance Sheet'!J8</f>
        <v>428.505</v>
      </c>
      <c r="K57" s="97">
        <f ca="1">IF(Cover!$G$17=1,'Balance Sheet'!K8,0)</f>
        <v>606.10506522470553</v>
      </c>
      <c r="L57" s="97">
        <f ca="1">IF(Cover!$G$17=1,'Balance Sheet'!L8,0)</f>
        <v>2094.8532746124192</v>
      </c>
      <c r="M57" s="97">
        <f ca="1">IF(Cover!$G$17=1,'Balance Sheet'!M8,0)</f>
        <v>3762.5955856779065</v>
      </c>
      <c r="N57" s="97">
        <f ca="1">IF(Cover!$G$17=1,'Balance Sheet'!N8,0)</f>
        <v>5715.6948408239614</v>
      </c>
      <c r="O57" s="97">
        <f ca="1">IF(Cover!$G$17=1,'Balance Sheet'!O8,0)</f>
        <v>7830.8174693990986</v>
      </c>
      <c r="Q57"/>
    </row>
    <row r="58" spans="2:17" x14ac:dyDescent="0.25">
      <c r="B58" s="20" t="s">
        <v>75</v>
      </c>
      <c r="C58" s="21"/>
      <c r="D58" s="21"/>
      <c r="E58" s="21"/>
      <c r="F58" s="86">
        <v>1.6</v>
      </c>
      <c r="G58" s="86">
        <v>0.9</v>
      </c>
      <c r="H58" s="86">
        <v>2.4</v>
      </c>
      <c r="I58" s="86">
        <v>3.2</v>
      </c>
      <c r="J58" s="87">
        <v>2.6</v>
      </c>
      <c r="K58" s="86">
        <f ca="1">K57*K63</f>
        <v>3.6776074248473982</v>
      </c>
      <c r="L58" s="86">
        <f t="shared" ref="L58:O58" ca="1" si="32">L57*L63</f>
        <v>12.710746698386927</v>
      </c>
      <c r="M58" s="86">
        <f t="shared" ca="1" si="32"/>
        <v>22.829951862317959</v>
      </c>
      <c r="N58" s="86">
        <f t="shared" ca="1" si="32"/>
        <v>34.680590859248547</v>
      </c>
      <c r="O58" s="86">
        <f t="shared" ca="1" si="32"/>
        <v>47.514324034579893</v>
      </c>
    </row>
    <row r="59" spans="2:17" x14ac:dyDescent="0.25">
      <c r="J59" s="82"/>
    </row>
    <row r="60" spans="2:17" x14ac:dyDescent="0.25">
      <c r="B60" s="156" t="s">
        <v>182</v>
      </c>
      <c r="C60" s="151"/>
      <c r="D60" s="151"/>
      <c r="E60" s="151"/>
      <c r="F60" s="182">
        <v>3.5999999999999997E-2</v>
      </c>
      <c r="G60" s="182">
        <v>3.7999999999999999E-2</v>
      </c>
      <c r="H60" s="182">
        <v>2.1000000000000001E-2</v>
      </c>
      <c r="I60" s="182">
        <v>1.9E-2</v>
      </c>
      <c r="J60" s="182">
        <v>0.03</v>
      </c>
      <c r="K60" s="325">
        <f ca="1">J60+'Metrics &amp; Drivers'!I$21</f>
        <v>0.03</v>
      </c>
      <c r="L60" s="143">
        <v>0.03</v>
      </c>
      <c r="M60" s="143">
        <v>0.03</v>
      </c>
      <c r="N60" s="143">
        <v>0.03</v>
      </c>
      <c r="O60" s="145">
        <v>0.03</v>
      </c>
    </row>
    <row r="61" spans="2:17" x14ac:dyDescent="0.25">
      <c r="B61" s="157" t="s">
        <v>181</v>
      </c>
      <c r="C61" s="153"/>
      <c r="D61" s="153"/>
      <c r="E61" s="153"/>
      <c r="F61" s="181">
        <v>0</v>
      </c>
      <c r="G61" s="181">
        <v>0</v>
      </c>
      <c r="H61" s="181">
        <v>2.9000000000000001E-2</v>
      </c>
      <c r="I61" s="181">
        <v>2.4300000000000002E-2</v>
      </c>
      <c r="J61" s="181">
        <v>2.4300000000000002E-2</v>
      </c>
      <c r="K61" s="326">
        <f ca="1">J61+'Metrics &amp; Drivers'!I$21</f>
        <v>2.4300000000000002E-2</v>
      </c>
      <c r="L61" s="130">
        <v>0.03</v>
      </c>
      <c r="M61" s="130">
        <v>0.03</v>
      </c>
      <c r="N61" s="130">
        <v>0.03</v>
      </c>
      <c r="O61" s="327">
        <v>0.03</v>
      </c>
    </row>
    <row r="62" spans="2:17" x14ac:dyDescent="0.25">
      <c r="B62" s="157" t="s">
        <v>180</v>
      </c>
      <c r="C62" s="153"/>
      <c r="D62" s="153"/>
      <c r="E62" s="153"/>
      <c r="F62" s="181">
        <v>0</v>
      </c>
      <c r="G62" s="181">
        <v>0</v>
      </c>
      <c r="H62" s="181">
        <v>2.9000000000000001E-2</v>
      </c>
      <c r="I62" s="181">
        <v>2.4300000000000002E-2</v>
      </c>
      <c r="J62" s="181">
        <v>2.4300000000000002E-2</v>
      </c>
      <c r="K62" s="326">
        <f ca="1">J62+'Metrics &amp; Drivers'!I$21</f>
        <v>2.4300000000000002E-2</v>
      </c>
      <c r="L62" s="130">
        <v>0.03</v>
      </c>
      <c r="M62" s="130">
        <v>0.03</v>
      </c>
      <c r="N62" s="130">
        <v>0.03</v>
      </c>
      <c r="O62" s="327">
        <v>0.03</v>
      </c>
    </row>
    <row r="63" spans="2:17" x14ac:dyDescent="0.25">
      <c r="B63" s="158" t="s">
        <v>212</v>
      </c>
      <c r="C63" s="155"/>
      <c r="D63" s="155"/>
      <c r="E63" s="155"/>
      <c r="F63" s="141">
        <f>F58/F57</f>
        <v>2.0333727299299758E-2</v>
      </c>
      <c r="G63" s="141">
        <f t="shared" ref="G63:J63" si="33">G58/G57</f>
        <v>5.4612313256228841E-3</v>
      </c>
      <c r="H63" s="141">
        <f t="shared" si="33"/>
        <v>1.2999675008124796E-2</v>
      </c>
      <c r="I63" s="141">
        <f t="shared" si="33"/>
        <v>1.3967882599946748E-2</v>
      </c>
      <c r="J63" s="141">
        <f t="shared" si="33"/>
        <v>6.0676071457742616E-3</v>
      </c>
      <c r="K63" s="148">
        <f>J63</f>
        <v>6.0676071457742616E-3</v>
      </c>
      <c r="L63" s="141">
        <f t="shared" ref="L63:O63" si="34">K63</f>
        <v>6.0676071457742616E-3</v>
      </c>
      <c r="M63" s="141">
        <f t="shared" si="34"/>
        <v>6.0676071457742616E-3</v>
      </c>
      <c r="N63" s="141">
        <f t="shared" si="34"/>
        <v>6.0676071457742616E-3</v>
      </c>
      <c r="O63" s="142">
        <f t="shared" si="34"/>
        <v>6.0676071457742616E-3</v>
      </c>
    </row>
    <row r="65" spans="2:10" x14ac:dyDescent="0.25">
      <c r="B65" s="19" t="s">
        <v>206</v>
      </c>
      <c r="G65" s="26" t="s">
        <v>199</v>
      </c>
      <c r="H65" s="26" t="s">
        <v>201</v>
      </c>
      <c r="I65" s="172" t="s">
        <v>200</v>
      </c>
      <c r="J65" s="172"/>
    </row>
    <row r="66" spans="2:10" x14ac:dyDescent="0.25">
      <c r="B66" s="22" t="s">
        <v>204</v>
      </c>
      <c r="G66" s="177">
        <v>500</v>
      </c>
      <c r="H66" s="178">
        <v>9.4999999999999998E-3</v>
      </c>
      <c r="I66" s="173">
        <f>(G66/$G$70)*H66</f>
        <v>1.9E-3</v>
      </c>
      <c r="J66" s="174"/>
    </row>
    <row r="67" spans="2:10" x14ac:dyDescent="0.25">
      <c r="B67" s="22" t="s">
        <v>205</v>
      </c>
      <c r="G67" s="177">
        <v>1000</v>
      </c>
      <c r="H67" s="178">
        <v>2.9000000000000001E-2</v>
      </c>
      <c r="I67" s="173">
        <f t="shared" ref="I67:I69" si="35">(G67/$G$70)*H67</f>
        <v>1.1600000000000001E-2</v>
      </c>
      <c r="J67" s="174"/>
    </row>
    <row r="68" spans="2:10" x14ac:dyDescent="0.25">
      <c r="B68" s="22" t="s">
        <v>202</v>
      </c>
      <c r="G68" s="177">
        <v>500</v>
      </c>
      <c r="H68" s="178">
        <v>2.35E-2</v>
      </c>
      <c r="I68" s="173">
        <f t="shared" si="35"/>
        <v>4.7000000000000002E-3</v>
      </c>
      <c r="J68" s="174"/>
    </row>
    <row r="69" spans="2:10" x14ac:dyDescent="0.25">
      <c r="B69" s="22" t="s">
        <v>203</v>
      </c>
      <c r="G69" s="177">
        <v>500</v>
      </c>
      <c r="H69" s="178">
        <v>3.0499999999999999E-2</v>
      </c>
      <c r="I69" s="173">
        <f t="shared" si="35"/>
        <v>6.1000000000000004E-3</v>
      </c>
      <c r="J69" s="174"/>
    </row>
    <row r="70" spans="2:10" s="19" customFormat="1" x14ac:dyDescent="0.25">
      <c r="B70" s="20" t="s">
        <v>102</v>
      </c>
      <c r="C70" s="20"/>
      <c r="D70" s="20"/>
      <c r="E70" s="20"/>
      <c r="F70" s="20"/>
      <c r="G70" s="179">
        <f>SUM(G66:G69)</f>
        <v>2500</v>
      </c>
      <c r="H70" s="180">
        <f t="shared" ref="H70:I70" si="36">SUM(H66:H69)</f>
        <v>9.2499999999999999E-2</v>
      </c>
      <c r="I70" s="175">
        <f t="shared" si="36"/>
        <v>2.4300000000000002E-2</v>
      </c>
      <c r="J70" s="1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Pro Forma Financials</vt:lpstr>
      <vt:lpstr>Income Statement</vt:lpstr>
      <vt:lpstr>Balance Sheet</vt:lpstr>
      <vt:lpstr>Cash Flow Statement</vt:lpstr>
      <vt:lpstr>Supplementary Schedules</vt:lpstr>
      <vt:lpstr>Revenue Build</vt:lpstr>
      <vt:lpstr>Metrics &amp; Drivers</vt:lpstr>
      <vt:lpstr>Debt Schedule</vt:lpstr>
      <vt:lpstr>Equity Schedule</vt:lpstr>
      <vt:lpstr>NWC</vt:lpstr>
      <vt:lpstr>PPE</vt:lpstr>
      <vt:lpstr>Valuation</vt:lpstr>
      <vt:lpstr>Comps</vt:lpstr>
      <vt:lpstr>Beta</vt:lpstr>
      <vt:lpstr>WACC</vt:lpstr>
      <vt:lpstr>DCF</vt:lpstr>
      <vt:lpstr>Ratio Analysis</vt:lpstr>
      <vt:lpstr>Liquidity</vt:lpstr>
      <vt:lpstr>Leverage &amp; Solvency</vt:lpstr>
      <vt:lpstr>Efficiency</vt:lpstr>
      <vt:lpstr>Profitability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Lau</dc:creator>
  <cp:lastModifiedBy>Max Lau</cp:lastModifiedBy>
  <dcterms:created xsi:type="dcterms:W3CDTF">2023-06-08T16:21:29Z</dcterms:created>
  <dcterms:modified xsi:type="dcterms:W3CDTF">2023-09-18T08:20:06Z</dcterms:modified>
</cp:coreProperties>
</file>