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carosi\Downloads\"/>
    </mc:Choice>
  </mc:AlternateContent>
  <xr:revisionPtr revIDLastSave="0" documentId="8_{C6DF8B3B-0EB4-4D12-A9FF-1C3F70A96F7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over" sheetId="8" r:id="rId1"/>
    <sheet name="Master" sheetId="1" r:id="rId2"/>
    <sheet name="DCF" sheetId="3" r:id="rId3"/>
    <sheet name="Operating Build" sheetId="5" r:id="rId4"/>
    <sheet name="Assumptions" sheetId="2" r:id="rId5"/>
    <sheet name="Comps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45208.9226273148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evenue">#REF!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Ak+Cfek+H+ICBliM4QpuapRHsiAr0iKaFr83Hh4UXN4="/>
    </ext>
  </extLst>
</workbook>
</file>

<file path=xl/calcChain.xml><?xml version="1.0" encoding="utf-8"?>
<calcChain xmlns="http://schemas.openxmlformats.org/spreadsheetml/2006/main">
  <c r="H30" i="2" l="1"/>
  <c r="I30" i="2"/>
  <c r="J30" i="2"/>
  <c r="K30" i="2"/>
  <c r="I31" i="2"/>
  <c r="J31" i="2"/>
  <c r="K31" i="2"/>
  <c r="H31" i="2"/>
  <c r="G27" i="3" l="1"/>
  <c r="F27" i="3"/>
  <c r="P10" i="3"/>
  <c r="C38" i="3" l="1"/>
  <c r="C35" i="3"/>
  <c r="C45" i="3" l="1"/>
  <c r="C44" i="3"/>
  <c r="C43" i="3"/>
  <c r="C42" i="3"/>
  <c r="C33" i="3"/>
  <c r="C36" i="3" s="1"/>
  <c r="C46" i="3" s="1"/>
  <c r="C6" i="1"/>
  <c r="I12" i="2"/>
  <c r="I11" i="2"/>
  <c r="J13" i="2"/>
  <c r="K13" i="2"/>
  <c r="I13" i="2"/>
  <c r="J11" i="2"/>
  <c r="K11" i="2"/>
  <c r="G49" i="2" l="1"/>
  <c r="F50" i="2"/>
  <c r="F49" i="2"/>
  <c r="G31" i="2"/>
  <c r="G30" i="2"/>
  <c r="H18" i="2"/>
  <c r="H17" i="2"/>
  <c r="I17" i="2" l="1"/>
  <c r="J17" i="2" s="1"/>
  <c r="K17" i="2" s="1"/>
  <c r="G50" i="2"/>
  <c r="H50" i="2" s="1"/>
  <c r="I50" i="2" s="1"/>
  <c r="J50" i="2" s="1"/>
  <c r="K50" i="2" s="1"/>
  <c r="H49" i="2"/>
  <c r="I49" i="2" s="1"/>
  <c r="J49" i="2" s="1"/>
  <c r="K49" i="2" s="1"/>
  <c r="G12" i="2"/>
  <c r="G13" i="2"/>
  <c r="G25" i="2"/>
  <c r="G24" i="2"/>
  <c r="H87" i="2"/>
  <c r="I87" i="2"/>
  <c r="J87" i="2"/>
  <c r="K87" i="2"/>
  <c r="G87" i="2"/>
  <c r="H86" i="2"/>
  <c r="I86" i="2"/>
  <c r="J86" i="2"/>
  <c r="K86" i="2"/>
  <c r="G86" i="2"/>
  <c r="H43" i="2"/>
  <c r="I43" i="2"/>
  <c r="J43" i="2"/>
  <c r="K43" i="2"/>
  <c r="F30" i="2"/>
  <c r="F31" i="2"/>
  <c r="H108" i="2" l="1"/>
  <c r="I108" i="2"/>
  <c r="J108" i="2"/>
  <c r="K108" i="2"/>
  <c r="G108" i="2"/>
  <c r="H107" i="2"/>
  <c r="I107" i="2"/>
  <c r="J107" i="2"/>
  <c r="K107" i="2"/>
  <c r="G107" i="2"/>
  <c r="F107" i="2"/>
  <c r="G109" i="2"/>
  <c r="H109" i="2" s="1"/>
  <c r="I109" i="2" s="1"/>
  <c r="J109" i="2" s="1"/>
  <c r="K109" i="2" s="1"/>
  <c r="G43" i="2"/>
  <c r="H51" i="2"/>
  <c r="I51" i="2"/>
  <c r="J51" i="2" s="1"/>
  <c r="K51" i="2" s="1"/>
  <c r="G51" i="2"/>
  <c r="H45" i="2"/>
  <c r="I45" i="2" s="1"/>
  <c r="J45" i="2" s="1"/>
  <c r="K45" i="2" s="1"/>
  <c r="G45" i="2"/>
  <c r="H39" i="2"/>
  <c r="I39" i="2"/>
  <c r="J39" i="2" s="1"/>
  <c r="K39" i="2" s="1"/>
  <c r="G39" i="2"/>
  <c r="I25" i="2"/>
  <c r="J25" i="2" s="1"/>
  <c r="K25" i="2" s="1"/>
  <c r="H26" i="2"/>
  <c r="H25" i="2"/>
  <c r="H24" i="2"/>
  <c r="H13" i="2"/>
  <c r="H12" i="2"/>
  <c r="J12" i="2" s="1"/>
  <c r="K12" i="2" s="1"/>
  <c r="H11" i="2"/>
  <c r="I26" i="2"/>
  <c r="J26" i="2" s="1"/>
  <c r="K26" i="2" s="1"/>
  <c r="I24" i="2"/>
  <c r="J24" i="2" s="1"/>
  <c r="K24" i="2" s="1"/>
  <c r="F51" i="2"/>
  <c r="G26" i="2" l="1"/>
  <c r="G17" i="2"/>
  <c r="H44" i="2"/>
  <c r="I44" i="2"/>
  <c r="J44" i="2"/>
  <c r="K44" i="2"/>
  <c r="G44" i="2"/>
  <c r="H38" i="2"/>
  <c r="I38" i="2"/>
  <c r="J38" i="2"/>
  <c r="K38" i="2"/>
  <c r="G38" i="2"/>
  <c r="H37" i="2"/>
  <c r="I37" i="2"/>
  <c r="J37" i="2"/>
  <c r="K37" i="2"/>
  <c r="G37" i="2"/>
  <c r="G18" i="2"/>
  <c r="E23" i="3" l="1"/>
  <c r="D23" i="3"/>
  <c r="D22" i="3"/>
  <c r="E22" i="3"/>
  <c r="C22" i="3"/>
  <c r="D18" i="3"/>
  <c r="E18" i="3"/>
  <c r="C18" i="3"/>
  <c r="D11" i="3"/>
  <c r="D15" i="3" s="1"/>
  <c r="D21" i="3" s="1"/>
  <c r="E11" i="3"/>
  <c r="E15" i="3" s="1"/>
  <c r="E21" i="3" s="1"/>
  <c r="C11" i="3"/>
  <c r="C15" i="3" s="1"/>
  <c r="C21" i="3" s="1"/>
  <c r="D10" i="3"/>
  <c r="D14" i="3" s="1"/>
  <c r="D20" i="3" s="1"/>
  <c r="E10" i="3"/>
  <c r="E14" i="3" s="1"/>
  <c r="E20" i="3" s="1"/>
  <c r="C10" i="3"/>
  <c r="C14" i="3" s="1"/>
  <c r="C20" i="3" s="1"/>
  <c r="D9" i="3"/>
  <c r="E9" i="3"/>
  <c r="C9" i="3"/>
  <c r="D7" i="3"/>
  <c r="E7" i="3"/>
  <c r="C7" i="3"/>
  <c r="D78" i="2"/>
  <c r="E78" i="2"/>
  <c r="C78" i="2"/>
  <c r="D60" i="2"/>
  <c r="E60" i="2"/>
  <c r="C60" i="2"/>
  <c r="D90" i="2"/>
  <c r="E90" i="2"/>
  <c r="C90" i="2"/>
  <c r="D66" i="2"/>
  <c r="E66" i="2"/>
  <c r="C66" i="2"/>
  <c r="D54" i="2"/>
  <c r="E54" i="2"/>
  <c r="C54" i="2"/>
  <c r="D84" i="2"/>
  <c r="E84" i="2"/>
  <c r="C84" i="2"/>
  <c r="D34" i="5"/>
  <c r="E34" i="5"/>
  <c r="C34" i="5"/>
  <c r="D105" i="2"/>
  <c r="E105" i="2"/>
  <c r="C105" i="2"/>
  <c r="F25" i="5"/>
  <c r="G25" i="5" s="1"/>
  <c r="H25" i="5" s="1"/>
  <c r="I25" i="5" s="1"/>
  <c r="J25" i="5" s="1"/>
  <c r="K25" i="5" s="1"/>
  <c r="D15" i="5"/>
  <c r="E15" i="5"/>
  <c r="C15" i="5"/>
  <c r="C21" i="5" s="1"/>
  <c r="D28" i="2"/>
  <c r="D29" i="2" s="1"/>
  <c r="E28" i="2"/>
  <c r="E29" i="2" s="1"/>
  <c r="C28" i="2"/>
  <c r="C29" i="2" s="1"/>
  <c r="G19" i="2"/>
  <c r="H19" i="2" s="1"/>
  <c r="I19" i="2" s="1"/>
  <c r="J19" i="2" s="1"/>
  <c r="K19" i="2" s="1"/>
  <c r="I18" i="2"/>
  <c r="J18" i="2" s="1"/>
  <c r="K18" i="2" s="1"/>
  <c r="D15" i="2"/>
  <c r="D16" i="2" s="1"/>
  <c r="E15" i="2"/>
  <c r="E16" i="2" s="1"/>
  <c r="C15" i="2"/>
  <c r="C16" i="2" s="1"/>
  <c r="D9" i="2"/>
  <c r="E9" i="2"/>
  <c r="C9" i="2"/>
  <c r="C3" i="2"/>
  <c r="G42" i="2" s="1"/>
  <c r="C12" i="3" l="1"/>
  <c r="C16" i="3" s="1"/>
  <c r="C19" i="3" s="1"/>
  <c r="E12" i="3"/>
  <c r="E16" i="3" s="1"/>
  <c r="E19" i="3" s="1"/>
  <c r="D12" i="3"/>
  <c r="D16" i="3" s="1"/>
  <c r="D19" i="3" s="1"/>
  <c r="F42" i="2"/>
  <c r="K42" i="2"/>
  <c r="J42" i="2"/>
  <c r="I42" i="2"/>
  <c r="H42" i="2"/>
  <c r="D21" i="5"/>
  <c r="E21" i="5"/>
  <c r="K9" i="7"/>
  <c r="M9" i="7"/>
  <c r="K13" i="7"/>
  <c r="L13" i="7"/>
  <c r="M13" i="7"/>
  <c r="N13" i="7"/>
  <c r="O13" i="7"/>
  <c r="O16" i="7" s="1"/>
  <c r="P13" i="7"/>
  <c r="P18" i="7" s="1"/>
  <c r="I16" i="7"/>
  <c r="J16" i="7"/>
  <c r="K16" i="7"/>
  <c r="L16" i="7"/>
  <c r="M16" i="7"/>
  <c r="N16" i="7"/>
  <c r="I17" i="7"/>
  <c r="J17" i="7"/>
  <c r="K17" i="7"/>
  <c r="L17" i="7"/>
  <c r="M17" i="7"/>
  <c r="N17" i="7"/>
  <c r="O17" i="7"/>
  <c r="P17" i="7"/>
  <c r="I18" i="7"/>
  <c r="J18" i="7"/>
  <c r="K18" i="7"/>
  <c r="L18" i="7"/>
  <c r="M18" i="7"/>
  <c r="N18" i="7"/>
  <c r="O18" i="7"/>
  <c r="I19" i="7"/>
  <c r="J19" i="7"/>
  <c r="K19" i="7"/>
  <c r="L19" i="7"/>
  <c r="M19" i="7"/>
  <c r="N19" i="7"/>
  <c r="D6" i="2"/>
  <c r="E6" i="2" s="1"/>
  <c r="F6" i="2" s="1"/>
  <c r="G6" i="2" s="1"/>
  <c r="H6" i="2" s="1"/>
  <c r="I6" i="2" s="1"/>
  <c r="J6" i="2" s="1"/>
  <c r="K6" i="2" s="1"/>
  <c r="E10" i="2"/>
  <c r="F10" i="2"/>
  <c r="F9" i="2" s="1"/>
  <c r="G10" i="2"/>
  <c r="K10" i="2"/>
  <c r="F16" i="2"/>
  <c r="D23" i="2"/>
  <c r="E23" i="2"/>
  <c r="F22" i="2" s="1"/>
  <c r="F10" i="5" s="1"/>
  <c r="F23" i="2"/>
  <c r="G23" i="2"/>
  <c r="H23" i="2"/>
  <c r="C67" i="2"/>
  <c r="D67" i="2"/>
  <c r="E73" i="2"/>
  <c r="D36" i="2"/>
  <c r="G36" i="2"/>
  <c r="F36" i="2"/>
  <c r="H36" i="2"/>
  <c r="D48" i="2"/>
  <c r="E48" i="2"/>
  <c r="F48" i="2"/>
  <c r="D55" i="2"/>
  <c r="E55" i="2"/>
  <c r="F56" i="2"/>
  <c r="F55" i="2" s="1"/>
  <c r="G56" i="2"/>
  <c r="G55" i="2" s="1"/>
  <c r="H56" i="2"/>
  <c r="I56" i="2"/>
  <c r="J56" i="2"/>
  <c r="K56" i="2"/>
  <c r="H57" i="2"/>
  <c r="H58" i="2"/>
  <c r="I58" i="2"/>
  <c r="J58" i="2" s="1"/>
  <c r="K58" i="2" s="1"/>
  <c r="C61" i="2"/>
  <c r="D61" i="2"/>
  <c r="E61" i="2"/>
  <c r="F62" i="2"/>
  <c r="G62" i="2"/>
  <c r="H62" i="2"/>
  <c r="I62" i="2"/>
  <c r="J62" i="2"/>
  <c r="K62" i="2"/>
  <c r="F63" i="2"/>
  <c r="G63" i="2"/>
  <c r="H63" i="2"/>
  <c r="I63" i="2"/>
  <c r="J63" i="2"/>
  <c r="K63" i="2"/>
  <c r="F68" i="2"/>
  <c r="G68" i="2" s="1"/>
  <c r="H68" i="2" s="1"/>
  <c r="I68" i="2" s="1"/>
  <c r="J68" i="2" s="1"/>
  <c r="K68" i="2" s="1"/>
  <c r="F69" i="2"/>
  <c r="F67" i="2" s="1"/>
  <c r="G70" i="2"/>
  <c r="H70" i="2" s="1"/>
  <c r="I70" i="2" s="1"/>
  <c r="J70" i="2" s="1"/>
  <c r="K70" i="2" s="1"/>
  <c r="F74" i="2"/>
  <c r="F73" i="2" s="1"/>
  <c r="G74" i="2"/>
  <c r="G73" i="2" s="1"/>
  <c r="H74" i="2"/>
  <c r="H73" i="2" s="1"/>
  <c r="I74" i="2"/>
  <c r="I73" i="2" s="1"/>
  <c r="J74" i="2"/>
  <c r="J73" i="2" s="1"/>
  <c r="K74" i="2"/>
  <c r="K73" i="2" s="1"/>
  <c r="G75" i="2"/>
  <c r="H75" i="2" s="1"/>
  <c r="I75" i="2" s="1"/>
  <c r="J75" i="2" s="1"/>
  <c r="K75" i="2" s="1"/>
  <c r="G76" i="2"/>
  <c r="H76" i="2" s="1"/>
  <c r="I76" i="2" s="1"/>
  <c r="J76" i="2" s="1"/>
  <c r="K76" i="2" s="1"/>
  <c r="D79" i="2"/>
  <c r="E79" i="2"/>
  <c r="F80" i="2"/>
  <c r="F79" i="2" s="1"/>
  <c r="G80" i="2"/>
  <c r="G79" i="2" s="1"/>
  <c r="H80" i="2"/>
  <c r="H79" i="2" s="1"/>
  <c r="I80" i="2"/>
  <c r="I79" i="2" s="1"/>
  <c r="J80" i="2"/>
  <c r="J79" i="2" s="1"/>
  <c r="K80" i="2"/>
  <c r="K79" i="2" s="1"/>
  <c r="C85" i="2"/>
  <c r="D85" i="2"/>
  <c r="F86" i="2"/>
  <c r="F85" i="2" s="1"/>
  <c r="F87" i="2"/>
  <c r="F88" i="2"/>
  <c r="G88" i="2"/>
  <c r="H88" i="2"/>
  <c r="I88" i="2"/>
  <c r="J88" i="2"/>
  <c r="K88" i="2"/>
  <c r="D91" i="2"/>
  <c r="E91" i="2"/>
  <c r="F91" i="2"/>
  <c r="G92" i="2" s="1"/>
  <c r="G91" i="2" s="1"/>
  <c r="H92" i="2" s="1"/>
  <c r="H91" i="2" s="1"/>
  <c r="I92" i="2" s="1"/>
  <c r="I91" i="2" s="1"/>
  <c r="J92" i="2" s="1"/>
  <c r="J91" i="2" s="1"/>
  <c r="D98" i="2"/>
  <c r="E98" i="2"/>
  <c r="F100" i="2"/>
  <c r="F98" i="2" s="1"/>
  <c r="G100" i="2"/>
  <c r="G98" i="2" s="1"/>
  <c r="H100" i="2"/>
  <c r="H98" i="2" s="1"/>
  <c r="I100" i="2"/>
  <c r="I98" i="2" s="1"/>
  <c r="J100" i="2"/>
  <c r="J98" i="2" s="1"/>
  <c r="K100" i="2"/>
  <c r="K98" i="2" s="1"/>
  <c r="F101" i="2"/>
  <c r="G101" i="2"/>
  <c r="H101" i="2"/>
  <c r="I101" i="2"/>
  <c r="J101" i="2"/>
  <c r="K101" i="2"/>
  <c r="F106" i="2"/>
  <c r="G106" i="2"/>
  <c r="H106" i="2"/>
  <c r="I106" i="2"/>
  <c r="J106" i="2"/>
  <c r="K106" i="2"/>
  <c r="C4" i="5"/>
  <c r="D7" i="5"/>
  <c r="E7" i="5" s="1"/>
  <c r="F7" i="5" s="1"/>
  <c r="G7" i="5" s="1"/>
  <c r="H7" i="5" s="1"/>
  <c r="I7" i="5" s="1"/>
  <c r="J7" i="5" s="1"/>
  <c r="K7" i="5" s="1"/>
  <c r="D11" i="5"/>
  <c r="D23" i="5" s="1"/>
  <c r="E11" i="5"/>
  <c r="E23" i="5" s="1"/>
  <c r="C3" i="3"/>
  <c r="D6" i="3"/>
  <c r="E6" i="3" s="1"/>
  <c r="F6" i="3" s="1"/>
  <c r="I13" i="3"/>
  <c r="P26" i="3"/>
  <c r="C40" i="3"/>
  <c r="J10" i="2" l="1"/>
  <c r="I10" i="2"/>
  <c r="H10" i="2"/>
  <c r="I23" i="2"/>
  <c r="E26" i="5"/>
  <c r="E29" i="5" s="1"/>
  <c r="E32" i="5"/>
  <c r="E35" i="5" s="1"/>
  <c r="E36" i="5" s="1"/>
  <c r="D26" i="5"/>
  <c r="D29" i="5" s="1"/>
  <c r="D32" i="5"/>
  <c r="D35" i="5" s="1"/>
  <c r="D36" i="5" s="1"/>
  <c r="G85" i="2"/>
  <c r="F84" i="2"/>
  <c r="F38" i="5" s="1"/>
  <c r="F22" i="3" s="1"/>
  <c r="D42" i="2"/>
  <c r="E42" i="2"/>
  <c r="D16" i="5"/>
  <c r="E16" i="5"/>
  <c r="C73" i="2"/>
  <c r="I48" i="2"/>
  <c r="H55" i="2"/>
  <c r="K61" i="2"/>
  <c r="H48" i="2"/>
  <c r="G48" i="2"/>
  <c r="C50" i="5"/>
  <c r="D50" i="5"/>
  <c r="I36" i="2"/>
  <c r="K23" i="2"/>
  <c r="I61" i="2"/>
  <c r="E45" i="5"/>
  <c r="J61" i="2"/>
  <c r="D45" i="5"/>
  <c r="F15" i="2"/>
  <c r="E36" i="2"/>
  <c r="F29" i="2"/>
  <c r="D73" i="2"/>
  <c r="J29" i="2"/>
  <c r="K29" i="2"/>
  <c r="G22" i="2"/>
  <c r="E85" i="2"/>
  <c r="H29" i="2"/>
  <c r="I29" i="2"/>
  <c r="G61" i="2"/>
  <c r="E50" i="5"/>
  <c r="C45" i="5"/>
  <c r="G69" i="2"/>
  <c r="E67" i="2"/>
  <c r="F61" i="2"/>
  <c r="H61" i="2"/>
  <c r="G29" i="2"/>
  <c r="G6" i="3"/>
  <c r="H6" i="3" s="1"/>
  <c r="I6" i="3" s="1"/>
  <c r="J6" i="3" s="1"/>
  <c r="K6" i="3" s="1"/>
  <c r="F9" i="5"/>
  <c r="F11" i="5" s="1"/>
  <c r="F7" i="3" s="1"/>
  <c r="G9" i="2"/>
  <c r="F54" i="2"/>
  <c r="F41" i="5" s="1"/>
  <c r="J67" i="2"/>
  <c r="I67" i="2"/>
  <c r="J13" i="3"/>
  <c r="F90" i="2"/>
  <c r="F33" i="5" s="1"/>
  <c r="F10" i="3" s="1"/>
  <c r="F14" i="3" s="1"/>
  <c r="F20" i="3" s="1"/>
  <c r="G16" i="2"/>
  <c r="E12" i="5"/>
  <c r="E8" i="3" s="1"/>
  <c r="I57" i="2"/>
  <c r="F97" i="2"/>
  <c r="F34" i="5" s="1"/>
  <c r="F11" i="3" s="1"/>
  <c r="F15" i="3" s="1"/>
  <c r="F21" i="3" s="1"/>
  <c r="K92" i="2"/>
  <c r="K91" i="2" s="1"/>
  <c r="P19" i="7"/>
  <c r="P16" i="7"/>
  <c r="F78" i="2"/>
  <c r="F49" i="5" s="1"/>
  <c r="O19" i="7"/>
  <c r="F28" i="3" l="1"/>
  <c r="D28" i="5"/>
  <c r="D106" i="2" s="1"/>
  <c r="E28" i="5"/>
  <c r="E106" i="2" s="1"/>
  <c r="H85" i="2"/>
  <c r="G84" i="2"/>
  <c r="G38" i="5" s="1"/>
  <c r="G22" i="3" s="1"/>
  <c r="F41" i="2"/>
  <c r="F19" i="5" s="1"/>
  <c r="F47" i="2"/>
  <c r="F18" i="5" s="1"/>
  <c r="F35" i="2"/>
  <c r="F20" i="5" s="1"/>
  <c r="J23" i="2"/>
  <c r="C52" i="5"/>
  <c r="K48" i="2"/>
  <c r="J48" i="2"/>
  <c r="K36" i="2"/>
  <c r="D52" i="5"/>
  <c r="E52" i="5"/>
  <c r="G28" i="2"/>
  <c r="G14" i="5" s="1"/>
  <c r="F28" i="2"/>
  <c r="F14" i="5" s="1"/>
  <c r="G15" i="2"/>
  <c r="G10" i="5"/>
  <c r="H22" i="2"/>
  <c r="G67" i="2"/>
  <c r="H69" i="2"/>
  <c r="H16" i="2"/>
  <c r="F13" i="5"/>
  <c r="G9" i="5"/>
  <c r="H9" i="2"/>
  <c r="G54" i="2"/>
  <c r="G41" i="5" s="1"/>
  <c r="G97" i="2"/>
  <c r="G34" i="5" s="1"/>
  <c r="G11" i="3" s="1"/>
  <c r="G15" i="3" s="1"/>
  <c r="G21" i="3" s="1"/>
  <c r="G90" i="2"/>
  <c r="G33" i="5" s="1"/>
  <c r="G10" i="3" s="1"/>
  <c r="G14" i="3" s="1"/>
  <c r="G20" i="3" s="1"/>
  <c r="H27" i="3"/>
  <c r="G28" i="3"/>
  <c r="F12" i="5"/>
  <c r="F8" i="3" s="1"/>
  <c r="G78" i="2"/>
  <c r="G49" i="5" s="1"/>
  <c r="I55" i="2"/>
  <c r="J57" i="2"/>
  <c r="K13" i="3"/>
  <c r="D53" i="5" l="1"/>
  <c r="I85" i="2"/>
  <c r="H84" i="2"/>
  <c r="H38" i="5" s="1"/>
  <c r="H22" i="3" s="1"/>
  <c r="F72" i="2"/>
  <c r="F66" i="2"/>
  <c r="F44" i="5" s="1"/>
  <c r="F45" i="5" s="1"/>
  <c r="J36" i="2"/>
  <c r="F15" i="5"/>
  <c r="E53" i="5"/>
  <c r="F60" i="2"/>
  <c r="F47" i="5" s="1"/>
  <c r="F50" i="5" s="1"/>
  <c r="H10" i="5"/>
  <c r="H28" i="2"/>
  <c r="H14" i="5" s="1"/>
  <c r="H15" i="2"/>
  <c r="G11" i="5"/>
  <c r="G7" i="3" s="1"/>
  <c r="I22" i="2"/>
  <c r="H67" i="2"/>
  <c r="I69" i="2"/>
  <c r="J69" i="2" s="1"/>
  <c r="K69" i="2" s="1"/>
  <c r="K67" i="2" s="1"/>
  <c r="D13" i="3"/>
  <c r="D17" i="5"/>
  <c r="G13" i="5"/>
  <c r="G60" i="2"/>
  <c r="G47" i="5" s="1"/>
  <c r="G50" i="5" s="1"/>
  <c r="H9" i="5"/>
  <c r="I9" i="2"/>
  <c r="H90" i="2"/>
  <c r="H33" i="5" s="1"/>
  <c r="H10" i="3" s="1"/>
  <c r="H14" i="3" s="1"/>
  <c r="H20" i="3" s="1"/>
  <c r="H97" i="2"/>
  <c r="H34" i="5" s="1"/>
  <c r="H11" i="3" s="1"/>
  <c r="H15" i="3" s="1"/>
  <c r="H21" i="3" s="1"/>
  <c r="H54" i="2"/>
  <c r="H41" i="5" s="1"/>
  <c r="H78" i="2"/>
  <c r="H49" i="5" s="1"/>
  <c r="E17" i="5"/>
  <c r="E13" i="3"/>
  <c r="D17" i="3"/>
  <c r="D24" i="3"/>
  <c r="D26" i="3" s="1"/>
  <c r="J55" i="2"/>
  <c r="K57" i="2"/>
  <c r="K55" i="2" s="1"/>
  <c r="I16" i="2"/>
  <c r="I27" i="3"/>
  <c r="H28" i="3"/>
  <c r="J85" i="2" l="1"/>
  <c r="I84" i="2"/>
  <c r="I38" i="5" s="1"/>
  <c r="I22" i="3" s="1"/>
  <c r="G47" i="2"/>
  <c r="G18" i="5" s="1"/>
  <c r="F52" i="5"/>
  <c r="F53" i="5" s="1"/>
  <c r="F23" i="3" s="1"/>
  <c r="G35" i="2"/>
  <c r="G20" i="5" s="1"/>
  <c r="F16" i="5"/>
  <c r="F21" i="5"/>
  <c r="G15" i="5"/>
  <c r="H11" i="5"/>
  <c r="H7" i="3" s="1"/>
  <c r="G12" i="5"/>
  <c r="G8" i="3" s="1"/>
  <c r="I28" i="2"/>
  <c r="I14" i="5" s="1"/>
  <c r="I15" i="2"/>
  <c r="I54" i="2"/>
  <c r="I41" i="5" s="1"/>
  <c r="I10" i="5"/>
  <c r="J22" i="2"/>
  <c r="D24" i="5"/>
  <c r="E17" i="3"/>
  <c r="E24" i="3"/>
  <c r="E26" i="3" s="1"/>
  <c r="H13" i="5"/>
  <c r="H15" i="5" s="1"/>
  <c r="H60" i="2"/>
  <c r="H47" i="5" s="1"/>
  <c r="H50" i="5" s="1"/>
  <c r="J27" i="3"/>
  <c r="I28" i="3"/>
  <c r="I9" i="5"/>
  <c r="J9" i="2"/>
  <c r="I90" i="2"/>
  <c r="I33" i="5" s="1"/>
  <c r="I10" i="3" s="1"/>
  <c r="I14" i="3" s="1"/>
  <c r="I20" i="3" s="1"/>
  <c r="I78" i="2"/>
  <c r="I49" i="5" s="1"/>
  <c r="I97" i="2"/>
  <c r="I34" i="5" s="1"/>
  <c r="I11" i="3" s="1"/>
  <c r="I15" i="3" s="1"/>
  <c r="I21" i="3" s="1"/>
  <c r="E24" i="5"/>
  <c r="K16" i="2"/>
  <c r="J16" i="2"/>
  <c r="P12" i="3" l="1"/>
  <c r="F23" i="5"/>
  <c r="F32" i="5" s="1"/>
  <c r="F35" i="5" s="1"/>
  <c r="F36" i="5" s="1"/>
  <c r="F9" i="3"/>
  <c r="K85" i="2"/>
  <c r="J84" i="2"/>
  <c r="J38" i="5" s="1"/>
  <c r="J22" i="3" s="1"/>
  <c r="H47" i="2"/>
  <c r="H18" i="5" s="1"/>
  <c r="H35" i="2"/>
  <c r="H20" i="5" s="1"/>
  <c r="G72" i="2"/>
  <c r="G66" i="2"/>
  <c r="G44" i="5" s="1"/>
  <c r="G45" i="5" s="1"/>
  <c r="G52" i="5" s="1"/>
  <c r="G53" i="5" s="1"/>
  <c r="G23" i="3" s="1"/>
  <c r="F17" i="5"/>
  <c r="G16" i="5"/>
  <c r="H16" i="5"/>
  <c r="H12" i="5"/>
  <c r="H8" i="3" s="1"/>
  <c r="K22" i="2"/>
  <c r="J28" i="2"/>
  <c r="J14" i="5" s="1"/>
  <c r="J15" i="2"/>
  <c r="I11" i="5"/>
  <c r="I7" i="3" s="1"/>
  <c r="J10" i="5"/>
  <c r="I13" i="5"/>
  <c r="I60" i="2"/>
  <c r="I47" i="5" s="1"/>
  <c r="I50" i="5" s="1"/>
  <c r="J9" i="5"/>
  <c r="K9" i="2"/>
  <c r="K15" i="2" s="1"/>
  <c r="J90" i="2"/>
  <c r="J33" i="5" s="1"/>
  <c r="J10" i="3" s="1"/>
  <c r="J14" i="3" s="1"/>
  <c r="J20" i="3" s="1"/>
  <c r="J97" i="2"/>
  <c r="J34" i="5" s="1"/>
  <c r="J11" i="3" s="1"/>
  <c r="J15" i="3" s="1"/>
  <c r="J21" i="3" s="1"/>
  <c r="J78" i="2"/>
  <c r="J49" i="5" s="1"/>
  <c r="K27" i="3"/>
  <c r="K28" i="3" s="1"/>
  <c r="J28" i="3"/>
  <c r="J54" i="2"/>
  <c r="J41" i="5" s="1"/>
  <c r="F12" i="3" l="1"/>
  <c r="F24" i="5"/>
  <c r="F26" i="5"/>
  <c r="F105" i="2" s="1"/>
  <c r="F27" i="5" s="1"/>
  <c r="K84" i="2"/>
  <c r="K38" i="5" s="1"/>
  <c r="K22" i="3" s="1"/>
  <c r="I47" i="2"/>
  <c r="I18" i="5" s="1"/>
  <c r="I35" i="2"/>
  <c r="I20" i="5" s="1"/>
  <c r="H66" i="2"/>
  <c r="H44" i="5" s="1"/>
  <c r="H45" i="5" s="1"/>
  <c r="H52" i="5" s="1"/>
  <c r="H53" i="5" s="1"/>
  <c r="H23" i="3" s="1"/>
  <c r="H72" i="2"/>
  <c r="G17" i="5"/>
  <c r="I15" i="5"/>
  <c r="H17" i="5"/>
  <c r="I12" i="5"/>
  <c r="I8" i="3" s="1"/>
  <c r="K10" i="5"/>
  <c r="K28" i="2"/>
  <c r="K14" i="5" s="1"/>
  <c r="J11" i="5"/>
  <c r="J7" i="3" s="1"/>
  <c r="J13" i="5"/>
  <c r="J60" i="2"/>
  <c r="J47" i="5" s="1"/>
  <c r="J50" i="5" s="1"/>
  <c r="K9" i="5"/>
  <c r="K97" i="2"/>
  <c r="K34" i="5" s="1"/>
  <c r="K11" i="3" s="1"/>
  <c r="K15" i="3" s="1"/>
  <c r="K21" i="3" s="1"/>
  <c r="K90" i="2"/>
  <c r="K33" i="5" s="1"/>
  <c r="K10" i="3" s="1"/>
  <c r="K14" i="3" s="1"/>
  <c r="K20" i="3" s="1"/>
  <c r="K78" i="2"/>
  <c r="K49" i="5" s="1"/>
  <c r="K54" i="2"/>
  <c r="K41" i="5" s="1"/>
  <c r="F16" i="3" l="1"/>
  <c r="F29" i="5"/>
  <c r="F18" i="3"/>
  <c r="F28" i="5"/>
  <c r="J47" i="2"/>
  <c r="J18" i="5" s="1"/>
  <c r="J35" i="2"/>
  <c r="J20" i="5" s="1"/>
  <c r="I72" i="2"/>
  <c r="I66" i="2"/>
  <c r="I44" i="5" s="1"/>
  <c r="I45" i="5" s="1"/>
  <c r="I52" i="5" s="1"/>
  <c r="I53" i="5" s="1"/>
  <c r="I23" i="3" s="1"/>
  <c r="I16" i="5"/>
  <c r="I17" i="5" s="1"/>
  <c r="J15" i="5"/>
  <c r="K11" i="5"/>
  <c r="K7" i="3" s="1"/>
  <c r="J12" i="5"/>
  <c r="J8" i="3" s="1"/>
  <c r="K13" i="5"/>
  <c r="K60" i="2"/>
  <c r="K47" i="5" s="1"/>
  <c r="K50" i="5" s="1"/>
  <c r="F17" i="3" l="1"/>
  <c r="F19" i="3"/>
  <c r="F24" i="3" s="1"/>
  <c r="K47" i="2"/>
  <c r="K18" i="5" s="1"/>
  <c r="K35" i="2"/>
  <c r="K20" i="5" s="1"/>
  <c r="J72" i="2"/>
  <c r="J66" i="2"/>
  <c r="J44" i="5" s="1"/>
  <c r="J45" i="5" s="1"/>
  <c r="J52" i="5" s="1"/>
  <c r="J53" i="5" s="1"/>
  <c r="J23" i="3" s="1"/>
  <c r="J16" i="5"/>
  <c r="J17" i="5" s="1"/>
  <c r="K12" i="5"/>
  <c r="K8" i="3" s="1"/>
  <c r="K15" i="5"/>
  <c r="F25" i="3" l="1"/>
  <c r="F26" i="3" s="1"/>
  <c r="F29" i="3" s="1"/>
  <c r="K72" i="2"/>
  <c r="K66" i="2"/>
  <c r="K44" i="5" s="1"/>
  <c r="K45" i="5" s="1"/>
  <c r="K52" i="5" s="1"/>
  <c r="K53" i="5" s="1"/>
  <c r="K23" i="3" s="1"/>
  <c r="K16" i="5"/>
  <c r="K17" i="5" s="1"/>
  <c r="C98" i="2" l="1"/>
  <c r="D10" i="2"/>
  <c r="C91" i="2"/>
  <c r="C55" i="2"/>
  <c r="C79" i="2"/>
  <c r="C48" i="2"/>
  <c r="C36" i="2"/>
  <c r="C11" i="5"/>
  <c r="C23" i="5" s="1"/>
  <c r="C26" i="5" l="1"/>
  <c r="C32" i="5"/>
  <c r="C35" i="5" s="1"/>
  <c r="C36" i="5" s="1"/>
  <c r="C29" i="5"/>
  <c r="C28" i="5"/>
  <c r="C106" i="2" s="1"/>
  <c r="C42" i="2"/>
  <c r="C16" i="5"/>
  <c r="D12" i="5"/>
  <c r="D8" i="3" s="1"/>
  <c r="C13" i="3" l="1"/>
  <c r="C17" i="5"/>
  <c r="C24" i="3"/>
  <c r="C26" i="3" s="1"/>
  <c r="C17" i="3"/>
  <c r="C24" i="5" l="1"/>
  <c r="G41" i="2" l="1"/>
  <c r="G19" i="5" s="1"/>
  <c r="G21" i="5" s="1"/>
  <c r="H41" i="2"/>
  <c r="H19" i="5" s="1"/>
  <c r="H21" i="5" s="1"/>
  <c r="I41" i="2"/>
  <c r="I19" i="5" s="1"/>
  <c r="I21" i="5" s="1"/>
  <c r="J41" i="2"/>
  <c r="J19" i="5" s="1"/>
  <c r="J21" i="5" s="1"/>
  <c r="K41" i="2"/>
  <c r="K19" i="5" s="1"/>
  <c r="K21" i="5" s="1"/>
  <c r="K23" i="5" l="1"/>
  <c r="K24" i="5" s="1"/>
  <c r="K9" i="3"/>
  <c r="H23" i="5"/>
  <c r="H26" i="5" s="1"/>
  <c r="H105" i="2" s="1"/>
  <c r="H27" i="5" s="1"/>
  <c r="H18" i="3" s="1"/>
  <c r="H9" i="3"/>
  <c r="J23" i="5"/>
  <c r="J32" i="5" s="1"/>
  <c r="J35" i="5" s="1"/>
  <c r="J36" i="5" s="1"/>
  <c r="J9" i="3"/>
  <c r="I23" i="5"/>
  <c r="I24" i="5" s="1"/>
  <c r="I9" i="3"/>
  <c r="G23" i="5"/>
  <c r="G26" i="5" s="1"/>
  <c r="G105" i="2" s="1"/>
  <c r="G27" i="5" s="1"/>
  <c r="G9" i="3"/>
  <c r="J26" i="5" l="1"/>
  <c r="J105" i="2" s="1"/>
  <c r="J27" i="5" s="1"/>
  <c r="J18" i="3" s="1"/>
  <c r="K32" i="5"/>
  <c r="K35" i="5" s="1"/>
  <c r="K36" i="5" s="1"/>
  <c r="K26" i="5"/>
  <c r="K105" i="2" s="1"/>
  <c r="K27" i="5" s="1"/>
  <c r="K28" i="5" s="1"/>
  <c r="G24" i="5"/>
  <c r="H24" i="5"/>
  <c r="J24" i="5"/>
  <c r="G32" i="5"/>
  <c r="G35" i="5" s="1"/>
  <c r="G36" i="5" s="1"/>
  <c r="H32" i="5"/>
  <c r="H35" i="5" s="1"/>
  <c r="H36" i="5" s="1"/>
  <c r="I32" i="5"/>
  <c r="I35" i="5" s="1"/>
  <c r="I36" i="5" s="1"/>
  <c r="I26" i="5"/>
  <c r="I105" i="2" s="1"/>
  <c r="I27" i="5" s="1"/>
  <c r="I18" i="3" s="1"/>
  <c r="G29" i="5"/>
  <c r="G18" i="3"/>
  <c r="H12" i="3"/>
  <c r="G12" i="3"/>
  <c r="I12" i="3"/>
  <c r="J12" i="3"/>
  <c r="K12" i="3"/>
  <c r="P9" i="3" s="1"/>
  <c r="H29" i="5"/>
  <c r="G28" i="5"/>
  <c r="H28" i="5"/>
  <c r="K18" i="3" l="1"/>
  <c r="K29" i="5"/>
  <c r="J28" i="5"/>
  <c r="J29" i="5"/>
  <c r="I28" i="5"/>
  <c r="I29" i="5"/>
  <c r="G16" i="3"/>
  <c r="K16" i="3"/>
  <c r="K17" i="3" s="1"/>
  <c r="P11" i="3"/>
  <c r="J16" i="3"/>
  <c r="I16" i="3"/>
  <c r="I17" i="3" s="1"/>
  <c r="H16" i="3"/>
  <c r="P13" i="3" l="1"/>
  <c r="I19" i="3"/>
  <c r="I24" i="3" s="1"/>
  <c r="I26" i="3" s="1"/>
  <c r="I29" i="3" s="1"/>
  <c r="H19" i="3"/>
  <c r="H24" i="3" s="1"/>
  <c r="H26" i="3" s="1"/>
  <c r="H29" i="3" s="1"/>
  <c r="K19" i="3"/>
  <c r="K24" i="3" s="1"/>
  <c r="K26" i="3" s="1"/>
  <c r="K29" i="3" s="1"/>
  <c r="H17" i="3"/>
  <c r="G19" i="3"/>
  <c r="G24" i="3" s="1"/>
  <c r="G26" i="3" s="1"/>
  <c r="G29" i="3" s="1"/>
  <c r="G17" i="3"/>
  <c r="J19" i="3" l="1"/>
  <c r="J24" i="3" s="1"/>
  <c r="P18" i="3"/>
  <c r="J17" i="3"/>
  <c r="J26" i="3" l="1"/>
  <c r="J29" i="3" l="1"/>
  <c r="P14" i="3"/>
  <c r="P17" i="3" l="1"/>
  <c r="P19" i="3" s="1"/>
  <c r="P25" i="3" s="1"/>
  <c r="P28" i="3" s="1"/>
  <c r="P30" i="3" s="1"/>
  <c r="C11" i="1" s="1"/>
  <c r="P21" i="3" l="1"/>
  <c r="P20" i="3"/>
  <c r="P31" i="3"/>
  <c r="C12" i="1" s="1"/>
  <c r="P22" i="3" l="1"/>
</calcChain>
</file>

<file path=xl/sharedStrings.xml><?xml version="1.0" encoding="utf-8"?>
<sst xmlns="http://schemas.openxmlformats.org/spreadsheetml/2006/main" count="273" uniqueCount="183">
  <si>
    <t>Master</t>
  </si>
  <si>
    <t>Valuation Date</t>
  </si>
  <si>
    <t>DCF Valuation:</t>
  </si>
  <si>
    <t xml:space="preserve">Current Share Price </t>
  </si>
  <si>
    <t>Base</t>
  </si>
  <si>
    <t xml:space="preserve">Upside/Downside </t>
  </si>
  <si>
    <t>Bear</t>
  </si>
  <si>
    <t>Veeva Systems</t>
  </si>
  <si>
    <t xml:space="preserve">Assumptions </t>
  </si>
  <si>
    <t>Active Case:</t>
  </si>
  <si>
    <t>$ in millions</t>
  </si>
  <si>
    <t>Historical Years</t>
  </si>
  <si>
    <t>Forecasted Years</t>
  </si>
  <si>
    <t>Subscription Service Segment</t>
  </si>
  <si>
    <t>Subscription Service Revenue</t>
  </si>
  <si>
    <t>% Growth</t>
  </si>
  <si>
    <t>Subscription COGS</t>
  </si>
  <si>
    <t>% Margin</t>
  </si>
  <si>
    <t>Professional Services Segment</t>
  </si>
  <si>
    <t>Professional Services Revenue</t>
  </si>
  <si>
    <t>Professional Services COGS</t>
  </si>
  <si>
    <t>Operating Expenses</t>
  </si>
  <si>
    <t>R&amp;D</t>
  </si>
  <si>
    <t>Net Working Capital</t>
  </si>
  <si>
    <t>Accounts Recievable</t>
  </si>
  <si>
    <t>AR Days</t>
  </si>
  <si>
    <t>Accounts Payable</t>
  </si>
  <si>
    <t>AP Days</t>
  </si>
  <si>
    <t>% of SG&amp;A</t>
  </si>
  <si>
    <t>took average</t>
  </si>
  <si>
    <t>Deferred Revenue</t>
  </si>
  <si>
    <t>% of revenue</t>
  </si>
  <si>
    <t>D&amp;A</t>
  </si>
  <si>
    <t>Discounted Cash Flow Valuation</t>
  </si>
  <si>
    <t>x</t>
  </si>
  <si>
    <t>$ in thousands</t>
  </si>
  <si>
    <t>Revenue</t>
  </si>
  <si>
    <t>(-) Operating Expenses</t>
  </si>
  <si>
    <t>(+) Depreciation &amp; Amortization</t>
  </si>
  <si>
    <t>(-) Depreciation &amp; Amortization</t>
  </si>
  <si>
    <t xml:space="preserve">EBIT </t>
  </si>
  <si>
    <t>(-) Taxes</t>
  </si>
  <si>
    <t>% Effective Tax Rate</t>
  </si>
  <si>
    <t>NOPAT</t>
  </si>
  <si>
    <t>(-) Capital Expenditures</t>
  </si>
  <si>
    <t>(-) Change in Net Working Capital</t>
  </si>
  <si>
    <t>UFCF (excl. SBC)</t>
  </si>
  <si>
    <t>(-) Stub-Year</t>
  </si>
  <si>
    <t>FCF For Discounting</t>
  </si>
  <si>
    <t>Discount Period</t>
  </si>
  <si>
    <t>Discount Factor</t>
  </si>
  <si>
    <t>PV of UFCF</t>
  </si>
  <si>
    <t>Weighted Average Cost of Capital:</t>
  </si>
  <si>
    <t xml:space="preserve">Market Risk Premium </t>
  </si>
  <si>
    <t xml:space="preserve">Adjusted Beta </t>
  </si>
  <si>
    <t xml:space="preserve">Risk Free Rate </t>
  </si>
  <si>
    <t xml:space="preserve">Cost of Equity </t>
  </si>
  <si>
    <t xml:space="preserve">Pre-Tax Cost of Debt </t>
  </si>
  <si>
    <t>Tax Rate</t>
  </si>
  <si>
    <t>Cost of Debt</t>
  </si>
  <si>
    <t xml:space="preserve">Total Equity </t>
  </si>
  <si>
    <t xml:space="preserve">Total Debt </t>
  </si>
  <si>
    <t xml:space="preserve">Equity / Total Capitalization </t>
  </si>
  <si>
    <t xml:space="preserve">Debt / Total Capitalization </t>
  </si>
  <si>
    <t>WACC</t>
  </si>
  <si>
    <t>Spread</t>
  </si>
  <si>
    <t>Veeva Systems (NYSE:VEEV)</t>
  </si>
  <si>
    <t>Bull</t>
  </si>
  <si>
    <t xml:space="preserve">Operating Build </t>
  </si>
  <si>
    <t>Total Revenue</t>
  </si>
  <si>
    <t>Inventory</t>
  </si>
  <si>
    <t>Non-Cash Current Assets</t>
  </si>
  <si>
    <t>based on historical average</t>
  </si>
  <si>
    <t>Taxes</t>
  </si>
  <si>
    <t xml:space="preserve">Gross Profit </t>
  </si>
  <si>
    <t>Operating Income (EBIT)</t>
  </si>
  <si>
    <t xml:space="preserve">Capital Expenditures </t>
  </si>
  <si>
    <t xml:space="preserve">Accounts Receivable </t>
  </si>
  <si>
    <t>Other Recievables</t>
  </si>
  <si>
    <t>Prepaid Expenses</t>
  </si>
  <si>
    <t xml:space="preserve">Accounts Payable </t>
  </si>
  <si>
    <t xml:space="preserve">Other Current Liabilities </t>
  </si>
  <si>
    <t xml:space="preserve">Non-Debt Current Liabilites </t>
  </si>
  <si>
    <t xml:space="preserve">Net Working Capital </t>
  </si>
  <si>
    <t xml:space="preserve">Change in Net Working Capital </t>
  </si>
  <si>
    <t>Subscription Revenue</t>
  </si>
  <si>
    <t>Professional Revenue</t>
  </si>
  <si>
    <t>Effective Tax Rate</t>
  </si>
  <si>
    <t>Based off of historical averages</t>
  </si>
  <si>
    <t>Assumes Veeva's growth will be strong as Economic conditions improve and Veeva customers continue to adopt their new products</t>
  </si>
  <si>
    <t>Active Case</t>
  </si>
  <si>
    <t>R&amp;D Revenue is expected to grow 28% YoY assumes Veeva customers will adopt the many new R&amp;D -r</t>
  </si>
  <si>
    <t>R&amp;D products Veeva is putting out</t>
  </si>
  <si>
    <t>Assumes margins continue to stay high as Veeva customers adopt the existing products Veeva has put forth</t>
  </si>
  <si>
    <t>Assumes professional revenue will stay at mid teens growth as Veeva customers continue to use Veeva professional services</t>
  </si>
  <si>
    <t>Assumes Professional services will be more needed as continual adaption of new products requires professional services for Veeva</t>
  </si>
  <si>
    <t>Based on historical average</t>
  </si>
  <si>
    <t>Veeva continues plan of contributing around 25% of revenue to R&amp;D tp release highest quality products</t>
  </si>
  <si>
    <t>Veevas new products contribute to revenue outpacing R&amp;D spending</t>
  </si>
  <si>
    <t xml:space="preserve">Veeva increases their R&amp;D spending to stay ahead of competition </t>
  </si>
  <si>
    <t>Assumes AR will continue to grow with Revenue and AR Days stay the same as average</t>
  </si>
  <si>
    <t>Terminal Value:</t>
  </si>
  <si>
    <t>Terminal Value</t>
  </si>
  <si>
    <t>Period</t>
  </si>
  <si>
    <t>PV of Terminal Value</t>
  </si>
  <si>
    <t>Value Distribution:</t>
  </si>
  <si>
    <t>PV of Period Cash Flows</t>
  </si>
  <si>
    <t>PV of Terminal Cash Flows</t>
  </si>
  <si>
    <t xml:space="preserve">Total </t>
  </si>
  <si>
    <t>Period Cash Flows</t>
  </si>
  <si>
    <t>Terminal Cash Flows</t>
  </si>
  <si>
    <t>Implied Share Price:</t>
  </si>
  <si>
    <t>Enterprise Value</t>
  </si>
  <si>
    <t>(-) Total Debt</t>
  </si>
  <si>
    <t>(+) Cash</t>
  </si>
  <si>
    <t>Equity Value</t>
  </si>
  <si>
    <t>Shares Outstanding (mm)</t>
  </si>
  <si>
    <t>Share Price</t>
  </si>
  <si>
    <t>EV/Revenue</t>
  </si>
  <si>
    <t>EV/EBITDA</t>
  </si>
  <si>
    <t>Price/Earnings</t>
  </si>
  <si>
    <t>Ticker</t>
  </si>
  <si>
    <t xml:space="preserve">Company </t>
  </si>
  <si>
    <t>Market Cap</t>
  </si>
  <si>
    <t>EV</t>
  </si>
  <si>
    <t>LTM</t>
  </si>
  <si>
    <t>NTM</t>
  </si>
  <si>
    <t>75th Percentile</t>
  </si>
  <si>
    <t>Mean</t>
  </si>
  <si>
    <t>Median</t>
  </si>
  <si>
    <t>25th Percentile</t>
  </si>
  <si>
    <t>Adj. EBITDA</t>
  </si>
  <si>
    <t>DH</t>
  </si>
  <si>
    <t>Definitive Healthcare Corp</t>
  </si>
  <si>
    <t>CRM</t>
  </si>
  <si>
    <t>Salesforce</t>
  </si>
  <si>
    <t>DOCS</t>
  </si>
  <si>
    <t xml:space="preserve">Doximity </t>
  </si>
  <si>
    <t>NXGN</t>
  </si>
  <si>
    <t>NextGen Healthcare Inc.</t>
  </si>
  <si>
    <t>IQVIA</t>
  </si>
  <si>
    <t>IQV</t>
  </si>
  <si>
    <t>VEEV</t>
  </si>
  <si>
    <t>NM</t>
  </si>
  <si>
    <t>Exit Multiple Method:</t>
  </si>
  <si>
    <t>Exit Multiple</t>
  </si>
  <si>
    <t>Macro factors hurt revenue growth in short to medium term and customers do not adopt Veeva's new products at a high rate</t>
  </si>
  <si>
    <t>Assumes Professional services will be less used in future as customers utilize AI driven tools to learn how to properly use products</t>
  </si>
  <si>
    <t>Assumes margins fall at a rate 100bps less than base case as customers are not adopting products at a high speed</t>
  </si>
  <si>
    <t>Professional Service Revenue will outpace COGS due to customers needing more assistance with the application of new products so GP will increase by 50bps</t>
  </si>
  <si>
    <t>Professional Service Revenue will be outpaced by COGS as customers do not need as much assistance with applications so GP will decrease by 50 bps</t>
  </si>
  <si>
    <t>For Fiscal Year Ending January 31,</t>
  </si>
  <si>
    <t>% Subscription Revenue</t>
  </si>
  <si>
    <t>% Services Revenue</t>
  </si>
  <si>
    <t>% Revenue</t>
  </si>
  <si>
    <t>(-) Subscription Services COGS</t>
  </si>
  <si>
    <t>(-) Professional Service COGS</t>
  </si>
  <si>
    <t>(-) R&amp;D</t>
  </si>
  <si>
    <t>Capex</t>
  </si>
  <si>
    <t>Total Revenue:</t>
  </si>
  <si>
    <t>Total Cost of Goods Sold</t>
  </si>
  <si>
    <t>S&amp;M</t>
  </si>
  <si>
    <t>(-) S&amp;M</t>
  </si>
  <si>
    <t>(-) G&amp;A</t>
  </si>
  <si>
    <t>Total Operating Expenses</t>
  </si>
  <si>
    <t>G&amp;A</t>
  </si>
  <si>
    <t>Stock Based Compensation</t>
  </si>
  <si>
    <t>SBC</t>
  </si>
  <si>
    <t>(+) Other Income, Net</t>
  </si>
  <si>
    <t>Earnings Before Tax (EBT)</t>
  </si>
  <si>
    <t>Net Income</t>
  </si>
  <si>
    <t>EBITDA Reconciliation:</t>
  </si>
  <si>
    <t>EBIT</t>
  </si>
  <si>
    <t>(+) D&amp;A</t>
  </si>
  <si>
    <t>(+) SBC</t>
  </si>
  <si>
    <t>Net Working Capital:</t>
  </si>
  <si>
    <t xml:space="preserve">Accrued Liabilites </t>
  </si>
  <si>
    <t>(-) SBC</t>
  </si>
  <si>
    <t>2029 Adjusted EBITDA</t>
  </si>
  <si>
    <t>Implied PGR</t>
  </si>
  <si>
    <t xml:space="preserve">Assumes margins expand 100 bps in 2025 and 168 bps in 2026 due to margin expansion from no longer havign to pay Salesforce 12% of revenue </t>
  </si>
  <si>
    <t xml:space="preserve">Veeva lowers future marketing expenses due to already having top companies in industry </t>
  </si>
  <si>
    <t>Veeva has to raise marketing expenses to keep top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</si>
</sst>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#,##0.0%_);\(#,##0.0%\);_(&quot;–&quot;_)_%;_(@_)_%"/>
    <numFmt numFmtId="165" formatCode="yyyy&quot;A&quot;"/>
    <numFmt numFmtId="166" formatCode="yyyy&quot;E&quot;"/>
    <numFmt numFmtId="167" formatCode="0.0%"/>
    <numFmt numFmtId="168" formatCode="_(* #,##0.0_);_(* \(#,##0.0\);_(* &quot;-&quot;?_);_(@_)"/>
    <numFmt numFmtId="169" formatCode="#,##0.0_);\(#,##0.0\)"/>
    <numFmt numFmtId="170" formatCode="&quot;$&quot;#,##0.0_);\(&quot;$&quot;#,##0.0\)"/>
    <numFmt numFmtId="171" formatCode="0.0"/>
    <numFmt numFmtId="172" formatCode="&quot;$&quot;#,##0.0"/>
    <numFmt numFmtId="173" formatCode="#,##0.0"/>
    <numFmt numFmtId="174" formatCode="#.0\x"/>
    <numFmt numFmtId="175" formatCode="#,###.0\x"/>
    <numFmt numFmtId="176" formatCode="0.0\x"/>
    <numFmt numFmtId="177" formatCode="#,##0.0_);\(#,##0.0\);\-"/>
    <numFmt numFmtId="178" formatCode="0.0&quot;x&quot;"/>
    <numFmt numFmtId="179" formatCode="_(* #,##0_);_(* \(#,##0\);_(* &quot;-&quot;?_);_(@_)"/>
    <numFmt numFmtId="180" formatCode="_(* #,##0_);_(* \(#,##0\);_(* &quot;-&quot;??_);_(@_)"/>
    <numFmt numFmtId="181" formatCode="_(* #,##0.0_);_(* \(#,##0.0\);_(* &quot;-&quot;??_);_(@_)"/>
    <numFmt numFmtId="182" formatCode="0.0%;\ \(0.0%\)"/>
  </numFmts>
  <fonts count="2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name val="Garamond"/>
      <family val="1"/>
    </font>
    <font>
      <sz val="11"/>
      <color rgb="FF0000FF"/>
      <name val="Garamond"/>
      <family val="1"/>
    </font>
    <font>
      <sz val="11"/>
      <color rgb="FF000000"/>
      <name val="Garamond"/>
      <family val="1"/>
    </font>
    <font>
      <b/>
      <sz val="11"/>
      <color rgb="FFFFFFFF"/>
      <name val="Garamond"/>
      <family val="1"/>
    </font>
    <font>
      <b/>
      <sz val="11"/>
      <color rgb="FF00B0F0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FF00"/>
      <name val="Garamond"/>
      <family val="1"/>
    </font>
    <font>
      <sz val="12"/>
      <color rgb="FF00B050"/>
      <name val="Garamond"/>
      <family val="1"/>
    </font>
    <font>
      <i/>
      <sz val="12"/>
      <color theme="1"/>
      <name val="Garamond"/>
      <family val="1"/>
    </font>
    <font>
      <b/>
      <u/>
      <sz val="12"/>
      <color theme="1"/>
      <name val="Garamond"/>
      <family val="1"/>
    </font>
    <font>
      <sz val="12"/>
      <name val="Garamond"/>
      <family val="1"/>
    </font>
    <font>
      <sz val="12"/>
      <color rgb="FF0000FF"/>
      <name val="Garamond"/>
      <family val="1"/>
    </font>
    <font>
      <i/>
      <sz val="12"/>
      <color rgb="FF0000FF"/>
      <name val="Garamond"/>
      <family val="1"/>
    </font>
    <font>
      <b/>
      <sz val="11"/>
      <name val="Garamond"/>
      <family val="1"/>
    </font>
    <font>
      <b/>
      <u val="singleAccounting"/>
      <sz val="12"/>
      <color theme="1"/>
      <name val="Garamond"/>
      <family val="1"/>
    </font>
    <font>
      <i/>
      <sz val="12"/>
      <color rgb="FF00B050"/>
      <name val="Garamond"/>
      <family val="1"/>
    </font>
    <font>
      <sz val="12"/>
      <color rgb="FFFF0000"/>
      <name val="Garamond"/>
      <family val="1"/>
    </font>
  </fonts>
  <fills count="17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theme="0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5"/>
        <bgColor rgb="FF9ACDFF"/>
      </patternFill>
    </fill>
    <fill>
      <patternFill patternType="solid">
        <fgColor theme="5"/>
        <bgColor rgb="FFD9E2F3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rgb="FFC00000"/>
      </patternFill>
    </fill>
    <fill>
      <patternFill patternType="solid">
        <fgColor theme="0"/>
        <bgColor rgb="FFD9E2F3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2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applyFont="1" applyFill="1" applyAlignment="1">
      <alignment horizontal="right"/>
    </xf>
    <xf numFmtId="175" fontId="7" fillId="6" borderId="0" xfId="0" applyNumberFormat="1" applyFont="1" applyFill="1" applyAlignment="1">
      <alignment horizontal="left"/>
    </xf>
    <xf numFmtId="176" fontId="7" fillId="6" borderId="0" xfId="0" applyNumberFormat="1" applyFont="1" applyFill="1" applyAlignment="1">
      <alignment horizontal="left"/>
    </xf>
    <xf numFmtId="0" fontId="3" fillId="0" borderId="22" xfId="0" applyFont="1" applyBorder="1"/>
    <xf numFmtId="173" fontId="3" fillId="0" borderId="9" xfId="0" applyNumberFormat="1" applyFont="1" applyBorder="1"/>
    <xf numFmtId="0" fontId="3" fillId="0" borderId="23" xfId="0" applyFont="1" applyBorder="1"/>
    <xf numFmtId="173" fontId="3" fillId="0" borderId="0" xfId="0" applyNumberFormat="1" applyFont="1"/>
    <xf numFmtId="0" fontId="3" fillId="0" borderId="24" xfId="0" applyFont="1" applyBorder="1"/>
    <xf numFmtId="173" fontId="3" fillId="0" borderId="10" xfId="0" applyNumberFormat="1" applyFont="1" applyBorder="1"/>
    <xf numFmtId="0" fontId="10" fillId="0" borderId="5" xfId="0" applyFont="1" applyBorder="1"/>
    <xf numFmtId="14" fontId="10" fillId="0" borderId="5" xfId="0" applyNumberFormat="1" applyFont="1" applyBorder="1"/>
    <xf numFmtId="0" fontId="11" fillId="0" borderId="5" xfId="0" applyFont="1" applyBorder="1"/>
    <xf numFmtId="0" fontId="12" fillId="0" borderId="5" xfId="0" applyFont="1" applyBorder="1"/>
    <xf numFmtId="0" fontId="13" fillId="0" borderId="5" xfId="0" applyFont="1" applyBorder="1"/>
    <xf numFmtId="43" fontId="15" fillId="0" borderId="5" xfId="0" applyNumberFormat="1" applyFont="1" applyBorder="1"/>
    <xf numFmtId="0" fontId="12" fillId="0" borderId="5" xfId="0" applyFont="1" applyBorder="1" applyAlignment="1">
      <alignment horizontal="left" indent="1"/>
    </xf>
    <xf numFmtId="43" fontId="12" fillId="0" borderId="5" xfId="0" applyNumberFormat="1" applyFont="1" applyBorder="1"/>
    <xf numFmtId="177" fontId="14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indent="1"/>
    </xf>
    <xf numFmtId="167" fontId="15" fillId="0" borderId="5" xfId="0" applyNumberFormat="1" applyFont="1" applyBorder="1"/>
    <xf numFmtId="2" fontId="12" fillId="0" borderId="5" xfId="0" applyNumberFormat="1" applyFont="1" applyBorder="1"/>
    <xf numFmtId="177" fontId="13" fillId="0" borderId="5" xfId="0" applyNumberFormat="1" applyFont="1" applyBorder="1" applyAlignment="1">
      <alignment horizontal="right"/>
    </xf>
    <xf numFmtId="164" fontId="4" fillId="0" borderId="0" xfId="0" applyNumberFormat="1" applyFont="1"/>
    <xf numFmtId="43" fontId="3" fillId="0" borderId="0" xfId="0" applyNumberFormat="1" applyFont="1" applyAlignment="1">
      <alignment horizontal="center"/>
    </xf>
    <xf numFmtId="0" fontId="4" fillId="0" borderId="0" xfId="0" applyFont="1"/>
    <xf numFmtId="0" fontId="13" fillId="0" borderId="0" xfId="0" applyFont="1"/>
    <xf numFmtId="0" fontId="12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13" fillId="0" borderId="6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3" fillId="5" borderId="1" xfId="0" applyFont="1" applyFill="1" applyBorder="1"/>
    <xf numFmtId="165" fontId="13" fillId="5" borderId="1" xfId="0" applyNumberFormat="1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left"/>
    </xf>
    <xf numFmtId="41" fontId="19" fillId="0" borderId="0" xfId="0" applyNumberFormat="1" applyFont="1"/>
    <xf numFmtId="41" fontId="13" fillId="0" borderId="0" xfId="0" applyNumberFormat="1" applyFont="1" applyAlignment="1">
      <alignment wrapText="1"/>
    </xf>
    <xf numFmtId="0" fontId="16" fillId="0" borderId="0" xfId="0" applyFont="1" applyAlignment="1">
      <alignment horizontal="left"/>
    </xf>
    <xf numFmtId="167" fontId="12" fillId="0" borderId="0" xfId="0" applyNumberFormat="1" applyFont="1"/>
    <xf numFmtId="164" fontId="16" fillId="4" borderId="1" xfId="0" applyNumberFormat="1" applyFont="1" applyFill="1" applyBorder="1"/>
    <xf numFmtId="0" fontId="12" fillId="0" borderId="0" xfId="0" applyFont="1" applyAlignment="1">
      <alignment horizontal="left"/>
    </xf>
    <xf numFmtId="167" fontId="20" fillId="3" borderId="7" xfId="0" applyNumberFormat="1" applyFont="1" applyFill="1" applyBorder="1"/>
    <xf numFmtId="0" fontId="12" fillId="0" borderId="0" xfId="0" applyFont="1"/>
    <xf numFmtId="164" fontId="20" fillId="3" borderId="7" xfId="0" applyNumberFormat="1" applyFont="1" applyFill="1" applyBorder="1"/>
    <xf numFmtId="168" fontId="13" fillId="0" borderId="0" xfId="0" applyNumberFormat="1" applyFont="1"/>
    <xf numFmtId="167" fontId="16" fillId="0" borderId="0" xfId="0" applyNumberFormat="1" applyFont="1"/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164" fontId="20" fillId="4" borderId="1" xfId="0" applyNumberFormat="1" applyFont="1" applyFill="1" applyBorder="1"/>
    <xf numFmtId="170" fontId="13" fillId="0" borderId="0" xfId="0" applyNumberFormat="1" applyFont="1"/>
    <xf numFmtId="168" fontId="12" fillId="0" borderId="0" xfId="0" applyNumberFormat="1" applyFont="1"/>
    <xf numFmtId="10" fontId="12" fillId="0" borderId="0" xfId="0" applyNumberFormat="1" applyFont="1"/>
    <xf numFmtId="43" fontId="12" fillId="0" borderId="0" xfId="0" applyNumberFormat="1" applyFont="1"/>
    <xf numFmtId="171" fontId="12" fillId="0" borderId="0" xfId="0" applyNumberFormat="1" applyFont="1"/>
    <xf numFmtId="171" fontId="20" fillId="3" borderId="7" xfId="0" applyNumberFormat="1" applyFont="1" applyFill="1" applyBorder="1"/>
    <xf numFmtId="169" fontId="19" fillId="0" borderId="0" xfId="0" applyNumberFormat="1" applyFont="1"/>
    <xf numFmtId="164" fontId="20" fillId="10" borderId="5" xfId="0" applyNumberFormat="1" applyFont="1" applyFill="1" applyBorder="1"/>
    <xf numFmtId="10" fontId="12" fillId="0" borderId="5" xfId="0" applyNumberFormat="1" applyFont="1" applyBorder="1"/>
    <xf numFmtId="10" fontId="19" fillId="0" borderId="5" xfId="0" applyNumberFormat="1" applyFont="1" applyBorder="1"/>
    <xf numFmtId="0" fontId="2" fillId="11" borderId="1" xfId="0" applyFont="1" applyFill="1" applyBorder="1"/>
    <xf numFmtId="14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7" fontId="3" fillId="11" borderId="1" xfId="0" applyNumberFormat="1" applyFont="1" applyFill="1" applyBorder="1"/>
    <xf numFmtId="8" fontId="6" fillId="3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/>
    <xf numFmtId="0" fontId="0" fillId="14" borderId="0" xfId="0" applyFill="1"/>
    <xf numFmtId="0" fontId="2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169" fontId="15" fillId="0" borderId="0" xfId="0" applyNumberFormat="1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2"/>
    </xf>
    <xf numFmtId="43" fontId="15" fillId="0" borderId="0" xfId="0" applyNumberFormat="1" applyFont="1"/>
    <xf numFmtId="170" fontId="12" fillId="0" borderId="0" xfId="0" applyNumberFormat="1" applyFont="1"/>
    <xf numFmtId="169" fontId="18" fillId="0" borderId="0" xfId="0" applyNumberFormat="1" applyFont="1"/>
    <xf numFmtId="41" fontId="15" fillId="0" borderId="0" xfId="0" applyNumberFormat="1" applyFont="1"/>
    <xf numFmtId="0" fontId="16" fillId="0" borderId="0" xfId="0" quotePrefix="1" applyFont="1" applyAlignment="1">
      <alignment horizontal="right"/>
    </xf>
    <xf numFmtId="179" fontId="19" fillId="0" borderId="0" xfId="0" applyNumberFormat="1" applyFont="1"/>
    <xf numFmtId="179" fontId="10" fillId="0" borderId="5" xfId="0" applyNumberFormat="1" applyFont="1" applyBorder="1"/>
    <xf numFmtId="179" fontId="10" fillId="0" borderId="0" xfId="0" applyNumberFormat="1" applyFont="1"/>
    <xf numFmtId="0" fontId="24" fillId="0" borderId="0" xfId="0" applyFont="1"/>
    <xf numFmtId="37" fontId="12" fillId="0" borderId="0" xfId="0" applyNumberFormat="1" applyFont="1"/>
    <xf numFmtId="179" fontId="12" fillId="0" borderId="0" xfId="0" applyNumberFormat="1" applyFont="1"/>
    <xf numFmtId="5" fontId="13" fillId="0" borderId="0" xfId="0" applyNumberFormat="1" applyFont="1"/>
    <xf numFmtId="180" fontId="19" fillId="0" borderId="0" xfId="0" applyNumberFormat="1" applyFont="1"/>
    <xf numFmtId="0" fontId="16" fillId="0" borderId="0" xfId="0" applyFont="1" applyFill="1"/>
    <xf numFmtId="0" fontId="12" fillId="0" borderId="0" xfId="0" applyFont="1" applyFill="1"/>
    <xf numFmtId="165" fontId="13" fillId="0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0" fontId="13" fillId="14" borderId="0" xfId="0" applyFont="1" applyFill="1"/>
    <xf numFmtId="165" fontId="13" fillId="14" borderId="5" xfId="0" applyNumberFormat="1" applyFont="1" applyFill="1" applyBorder="1" applyAlignment="1">
      <alignment horizontal="center" vertical="center"/>
    </xf>
    <xf numFmtId="166" fontId="13" fillId="14" borderId="5" xfId="0" applyNumberFormat="1" applyFont="1" applyFill="1" applyBorder="1" applyAlignment="1">
      <alignment horizontal="center" vertical="center"/>
    </xf>
    <xf numFmtId="14" fontId="13" fillId="14" borderId="5" xfId="0" applyNumberFormat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3" fillId="0" borderId="9" xfId="0" applyFont="1" applyBorder="1"/>
    <xf numFmtId="41" fontId="13" fillId="0" borderId="0" xfId="0" applyNumberFormat="1" applyFont="1"/>
    <xf numFmtId="179" fontId="13" fillId="0" borderId="0" xfId="0" applyNumberFormat="1" applyFont="1"/>
    <xf numFmtId="181" fontId="12" fillId="0" borderId="0" xfId="0" applyNumberFormat="1" applyFont="1"/>
    <xf numFmtId="181" fontId="20" fillId="3" borderId="7" xfId="0" applyNumberFormat="1" applyFont="1" applyFill="1" applyBorder="1"/>
    <xf numFmtId="179" fontId="18" fillId="0" borderId="0" xfId="0" applyNumberFormat="1" applyFont="1"/>
    <xf numFmtId="180" fontId="15" fillId="0" borderId="0" xfId="0" applyNumberFormat="1" applyFont="1"/>
    <xf numFmtId="167" fontId="11" fillId="0" borderId="5" xfId="0" applyNumberFormat="1" applyFont="1" applyBorder="1"/>
    <xf numFmtId="167" fontId="20" fillId="3" borderId="8" xfId="0" applyNumberFormat="1" applyFont="1" applyFill="1" applyBorder="1"/>
    <xf numFmtId="43" fontId="12" fillId="14" borderId="0" xfId="0" applyNumberFormat="1" applyFont="1" applyFill="1"/>
    <xf numFmtId="179" fontId="15" fillId="0" borderId="0" xfId="0" applyNumberFormat="1" applyFont="1"/>
    <xf numFmtId="181" fontId="16" fillId="0" borderId="0" xfId="0" applyNumberFormat="1" applyFont="1"/>
    <xf numFmtId="0" fontId="16" fillId="14" borderId="0" xfId="0" applyFont="1" applyFill="1"/>
    <xf numFmtId="0" fontId="13" fillId="0" borderId="0" xfId="0" applyFont="1" applyFill="1" applyAlignment="1">
      <alignment horizontal="center"/>
    </xf>
    <xf numFmtId="165" fontId="13" fillId="0" borderId="6" xfId="0" applyNumberFormat="1" applyFont="1" applyBorder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/>
    <xf numFmtId="0" fontId="12" fillId="0" borderId="6" xfId="0" applyFont="1" applyBorder="1"/>
    <xf numFmtId="0" fontId="13" fillId="2" borderId="1" xfId="0" applyFont="1" applyFill="1" applyBorder="1" applyAlignment="1">
      <alignment horizontal="left"/>
    </xf>
    <xf numFmtId="164" fontId="23" fillId="0" borderId="0" xfId="0" applyNumberFormat="1" applyFont="1"/>
    <xf numFmtId="0" fontId="12" fillId="0" borderId="14" xfId="0" applyFont="1" applyBorder="1"/>
    <xf numFmtId="0" fontId="12" fillId="0" borderId="2" xfId="0" applyFont="1" applyBorder="1"/>
    <xf numFmtId="0" fontId="12" fillId="0" borderId="16" xfId="0" applyFont="1" applyBorder="1"/>
    <xf numFmtId="178" fontId="19" fillId="0" borderId="17" xfId="0" applyNumberFormat="1" applyFont="1" applyBorder="1"/>
    <xf numFmtId="0" fontId="13" fillId="0" borderId="16" xfId="0" applyFont="1" applyBorder="1" applyAlignment="1">
      <alignment horizontal="left"/>
    </xf>
    <xf numFmtId="169" fontId="12" fillId="0" borderId="17" xfId="0" applyNumberFormat="1" applyFont="1" applyBorder="1"/>
    <xf numFmtId="168" fontId="13" fillId="2" borderId="1" xfId="0" applyNumberFormat="1" applyFont="1" applyFill="1" applyBorder="1"/>
    <xf numFmtId="164" fontId="16" fillId="0" borderId="0" xfId="0" applyNumberFormat="1" applyFont="1"/>
    <xf numFmtId="164" fontId="12" fillId="0" borderId="17" xfId="0" applyNumberFormat="1" applyFont="1" applyBorder="1"/>
    <xf numFmtId="9" fontId="13" fillId="0" borderId="18" xfId="0" applyNumberFormat="1" applyFont="1" applyBorder="1" applyAlignment="1">
      <alignment horizontal="left"/>
    </xf>
    <xf numFmtId="164" fontId="13" fillId="0" borderId="13" xfId="0" applyNumberFormat="1" applyFont="1" applyBorder="1"/>
    <xf numFmtId="0" fontId="13" fillId="0" borderId="16" xfId="0" applyFont="1" applyBorder="1"/>
    <xf numFmtId="0" fontId="12" fillId="0" borderId="16" xfId="0" applyFont="1" applyBorder="1" applyAlignment="1">
      <alignment horizontal="left"/>
    </xf>
    <xf numFmtId="39" fontId="12" fillId="0" borderId="0" xfId="0" applyNumberFormat="1" applyFont="1"/>
    <xf numFmtId="7" fontId="13" fillId="0" borderId="15" xfId="0" applyNumberFormat="1" applyFont="1" applyBorder="1"/>
    <xf numFmtId="0" fontId="12" fillId="0" borderId="18" xfId="0" applyFont="1" applyBorder="1" applyAlignment="1">
      <alignment horizontal="left"/>
    </xf>
    <xf numFmtId="164" fontId="12" fillId="0" borderId="19" xfId="0" applyNumberFormat="1" applyFont="1" applyBorder="1"/>
    <xf numFmtId="0" fontId="13" fillId="7" borderId="6" xfId="0" applyFont="1" applyFill="1" applyBorder="1"/>
    <xf numFmtId="0" fontId="12" fillId="7" borderId="6" xfId="0" applyFont="1" applyFill="1" applyBorder="1"/>
    <xf numFmtId="0" fontId="12" fillId="0" borderId="5" xfId="0" applyFont="1" applyBorder="1" applyAlignment="1">
      <alignment horizontal="left"/>
    </xf>
    <xf numFmtId="2" fontId="19" fillId="0" borderId="5" xfId="0" applyNumberFormat="1" applyFont="1" applyBorder="1"/>
    <xf numFmtId="164" fontId="19" fillId="0" borderId="5" xfId="0" applyNumberFormat="1" applyFont="1" applyBorder="1"/>
    <xf numFmtId="0" fontId="13" fillId="2" borderId="5" xfId="0" applyFont="1" applyFill="1" applyBorder="1"/>
    <xf numFmtId="164" fontId="13" fillId="2" borderId="5" xfId="0" applyNumberFormat="1" applyFont="1" applyFill="1" applyBorder="1"/>
    <xf numFmtId="164" fontId="12" fillId="0" borderId="5" xfId="0" applyNumberFormat="1" applyFont="1" applyBorder="1"/>
    <xf numFmtId="170" fontId="19" fillId="0" borderId="5" xfId="0" applyNumberFormat="1" applyFont="1" applyBorder="1"/>
    <xf numFmtId="167" fontId="13" fillId="2" borderId="5" xfId="0" applyNumberFormat="1" applyFont="1" applyFill="1" applyBorder="1"/>
    <xf numFmtId="0" fontId="12" fillId="13" borderId="5" xfId="0" applyFont="1" applyFill="1" applyBorder="1"/>
    <xf numFmtId="0" fontId="12" fillId="8" borderId="1" xfId="0" applyFont="1" applyFill="1" applyBorder="1"/>
    <xf numFmtId="0" fontId="12" fillId="9" borderId="0" xfId="0" applyFont="1" applyFill="1"/>
    <xf numFmtId="5" fontId="13" fillId="2" borderId="1" xfId="0" applyNumberFormat="1" applyFont="1" applyFill="1" applyBorder="1"/>
    <xf numFmtId="179" fontId="13" fillId="2" borderId="1" xfId="0" applyNumberFormat="1" applyFont="1" applyFill="1" applyBorder="1"/>
    <xf numFmtId="5" fontId="13" fillId="0" borderId="15" xfId="0" applyNumberFormat="1" applyFont="1" applyBorder="1"/>
    <xf numFmtId="5" fontId="13" fillId="0" borderId="19" xfId="0" applyNumberFormat="1" applyFont="1" applyBorder="1"/>
    <xf numFmtId="5" fontId="12" fillId="0" borderId="17" xfId="0" applyNumberFormat="1" applyFont="1" applyBorder="1"/>
    <xf numFmtId="37" fontId="12" fillId="0" borderId="17" xfId="0" applyNumberFormat="1" applyFont="1" applyBorder="1"/>
    <xf numFmtId="37" fontId="19" fillId="0" borderId="17" xfId="0" applyNumberFormat="1" applyFont="1" applyBorder="1"/>
    <xf numFmtId="37" fontId="13" fillId="0" borderId="15" xfId="0" applyNumberFormat="1" applyFont="1" applyBorder="1"/>
    <xf numFmtId="5" fontId="13" fillId="0" borderId="17" xfId="0" applyNumberFormat="1" applyFont="1" applyBorder="1"/>
    <xf numFmtId="0" fontId="12" fillId="0" borderId="10" xfId="0" applyFont="1" applyBorder="1"/>
    <xf numFmtId="0" fontId="12" fillId="0" borderId="24" xfId="0" applyFont="1" applyBorder="1"/>
    <xf numFmtId="10" fontId="12" fillId="0" borderId="25" xfId="1" applyNumberFormat="1" applyFont="1" applyBorder="1"/>
    <xf numFmtId="179" fontId="12" fillId="0" borderId="17" xfId="0" applyNumberFormat="1" applyFont="1" applyBorder="1"/>
    <xf numFmtId="179" fontId="12" fillId="0" borderId="15" xfId="0" applyNumberFormat="1" applyFont="1" applyBorder="1"/>
    <xf numFmtId="0" fontId="13" fillId="12" borderId="14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15" xfId="0" applyFont="1" applyFill="1" applyBorder="1" applyAlignment="1">
      <alignment horizontal="center"/>
    </xf>
    <xf numFmtId="0" fontId="12" fillId="0" borderId="0" xfId="0" applyFont="1"/>
    <xf numFmtId="0" fontId="13" fillId="0" borderId="5" xfId="0" applyFont="1" applyFill="1" applyBorder="1"/>
    <xf numFmtId="0" fontId="12" fillId="0" borderId="5" xfId="0" applyFont="1" applyFill="1" applyBorder="1"/>
    <xf numFmtId="5" fontId="12" fillId="0" borderId="5" xfId="0" applyNumberFormat="1" applyFont="1" applyFill="1" applyBorder="1"/>
    <xf numFmtId="10" fontId="19" fillId="0" borderId="5" xfId="0" applyNumberFormat="1" applyFont="1" applyFill="1" applyBorder="1"/>
    <xf numFmtId="0" fontId="13" fillId="0" borderId="5" xfId="0" applyFont="1" applyFill="1" applyBorder="1" applyAlignment="1">
      <alignment horizontal="left"/>
    </xf>
    <xf numFmtId="5" fontId="13" fillId="0" borderId="5" xfId="0" applyNumberFormat="1" applyFont="1" applyFill="1" applyBorder="1"/>
    <xf numFmtId="169" fontId="12" fillId="0" borderId="5" xfId="0" applyNumberFormat="1" applyFont="1" applyFill="1" applyBorder="1"/>
    <xf numFmtId="179" fontId="12" fillId="0" borderId="5" xfId="0" applyNumberFormat="1" applyFont="1" applyFill="1" applyBorder="1"/>
    <xf numFmtId="164" fontId="12" fillId="0" borderId="5" xfId="0" applyNumberFormat="1" applyFont="1" applyFill="1" applyBorder="1"/>
    <xf numFmtId="9" fontId="13" fillId="0" borderId="5" xfId="0" applyNumberFormat="1" applyFont="1" applyFill="1" applyBorder="1" applyAlignment="1">
      <alignment horizontal="left"/>
    </xf>
    <xf numFmtId="164" fontId="13" fillId="0" borderId="5" xfId="0" applyNumberFormat="1" applyFont="1" applyFill="1" applyBorder="1"/>
    <xf numFmtId="0" fontId="1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5" fontId="19" fillId="0" borderId="5" xfId="0" applyNumberFormat="1" applyFont="1" applyFill="1" applyBorder="1"/>
    <xf numFmtId="7" fontId="13" fillId="0" borderId="5" xfId="0" applyNumberFormat="1" applyFont="1" applyFill="1" applyBorder="1"/>
    <xf numFmtId="0" fontId="12" fillId="0" borderId="5" xfId="0" applyFont="1" applyFill="1" applyBorder="1" applyAlignment="1">
      <alignment horizontal="left" indent="1"/>
    </xf>
    <xf numFmtId="7" fontId="12" fillId="0" borderId="5" xfId="0" applyNumberFormat="1" applyFont="1" applyFill="1" applyBorder="1"/>
    <xf numFmtId="167" fontId="19" fillId="0" borderId="5" xfId="0" applyNumberFormat="1" applyFont="1" applyFill="1" applyBorder="1"/>
    <xf numFmtId="167" fontId="18" fillId="0" borderId="5" xfId="0" applyNumberFormat="1" applyFont="1" applyFill="1" applyBorder="1"/>
    <xf numFmtId="182" fontId="16" fillId="0" borderId="5" xfId="0" applyNumberFormat="1" applyFont="1" applyFill="1" applyBorder="1"/>
    <xf numFmtId="0" fontId="3" fillId="0" borderId="5" xfId="0" applyFont="1" applyFill="1" applyBorder="1" applyAlignment="1">
      <alignment horizontal="left"/>
    </xf>
    <xf numFmtId="7" fontId="3" fillId="0" borderId="5" xfId="0" applyNumberFormat="1" applyFont="1" applyFill="1" applyBorder="1"/>
    <xf numFmtId="0" fontId="2" fillId="0" borderId="5" xfId="0" applyFont="1" applyFill="1" applyBorder="1" applyAlignment="1">
      <alignment horizontal="left"/>
    </xf>
    <xf numFmtId="7" fontId="2" fillId="0" borderId="5" xfId="0" applyNumberFormat="1" applyFont="1" applyFill="1" applyBorder="1"/>
    <xf numFmtId="0" fontId="8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8" fillId="15" borderId="21" xfId="0" applyFont="1" applyFill="1" applyBorder="1" applyAlignment="1">
      <alignment horizontal="center"/>
    </xf>
    <xf numFmtId="172" fontId="8" fillId="15" borderId="0" xfId="0" applyNumberFormat="1" applyFont="1" applyFill="1" applyAlignment="1">
      <alignment horizontal="center"/>
    </xf>
    <xf numFmtId="174" fontId="8" fillId="15" borderId="0" xfId="0" applyNumberFormat="1" applyFont="1" applyFill="1" applyAlignment="1">
      <alignment horizontal="center"/>
    </xf>
    <xf numFmtId="0" fontId="0" fillId="9" borderId="0" xfId="0" applyFill="1"/>
    <xf numFmtId="14" fontId="12" fillId="0" borderId="0" xfId="0" applyNumberFormat="1" applyFont="1"/>
    <xf numFmtId="0" fontId="13" fillId="12" borderId="14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15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17" fillId="4" borderId="3" xfId="0" applyNumberFormat="1" applyFont="1" applyFill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/>
    <xf numFmtId="0" fontId="17" fillId="4" borderId="3" xfId="0" applyFont="1" applyFill="1" applyBorder="1" applyAlignment="1">
      <alignment horizontal="center"/>
    </xf>
    <xf numFmtId="0" fontId="12" fillId="0" borderId="0" xfId="0" applyFont="1"/>
    <xf numFmtId="0" fontId="8" fillId="15" borderId="2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12" fillId="9" borderId="5" xfId="0" applyFont="1" applyFill="1" applyBorder="1"/>
    <xf numFmtId="0" fontId="13" fillId="16" borderId="5" xfId="0" applyFont="1" applyFill="1" applyBorder="1"/>
    <xf numFmtId="165" fontId="13" fillId="16" borderId="5" xfId="0" applyNumberFormat="1" applyFont="1" applyFill="1" applyBorder="1" applyAlignment="1">
      <alignment horizontal="center" vertical="center"/>
    </xf>
    <xf numFmtId="166" fontId="13" fillId="16" borderId="5" xfId="0" applyNumberFormat="1" applyFont="1" applyFill="1" applyBorder="1" applyAlignment="1">
      <alignment horizontal="center" vertical="center"/>
    </xf>
    <xf numFmtId="10" fontId="12" fillId="9" borderId="5" xfId="0" applyNumberFormat="1" applyFont="1" applyFill="1" applyBorder="1"/>
    <xf numFmtId="43" fontId="12" fillId="9" borderId="5" xfId="0" applyNumberFormat="1" applyFont="1" applyFill="1" applyBorder="1"/>
    <xf numFmtId="0" fontId="12" fillId="9" borderId="5" xfId="0" applyFont="1" applyFill="1" applyBorder="1" applyAlignment="1">
      <alignment horizontal="left"/>
    </xf>
    <xf numFmtId="43" fontId="11" fillId="10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ED7D31"/>
      <color rgb="FFFA9B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292100</xdr:colOff>
      <xdr:row>1</xdr:row>
      <xdr:rowOff>177800</xdr:rowOff>
    </xdr:from>
    <xdr:ext cx="5041900" cy="1460500"/>
    <xdr:pic>
      <xdr:nvPicPr>
        <xdr:cNvPr id="2" name="image1.png" descr="ADVANZ PHARMA Partners with Veeva to Set Unified Digital-First Commercial  Foundation">
          <a:extLst>
            <a:ext uri="{FF2B5EF4-FFF2-40B4-BE49-F238E27FC236}">
              <a16:creationId xmlns:a16="http://schemas.microsoft.com/office/drawing/2014/main" id="{8064E4D3-5451-5E4C-B484-3AED207B815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25582" b="20930"/>
        <a:stretch/>
      </xdr:blipFill>
      <xdr:spPr>
        <a:xfrm>
          <a:off x="3594100" y="368300"/>
          <a:ext cx="5041900" cy="1460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40</xdr:row>
      <xdr:rowOff>0</xdr:rowOff>
    </xdr:from>
    <xdr:ext cx="9525" cy="9525"/>
    <xdr:pic>
      <xdr:nvPicPr>
        <xdr:cNvPr id="2" name="image2.gif">
          <a:extLst>
            <a:ext uri="{FF2B5EF4-FFF2-40B4-BE49-F238E27FC236}">
              <a16:creationId xmlns:a16="http://schemas.microsoft.com/office/drawing/2014/main" id="{65A6CE2F-6691-4513-8CBB-AC5E65841E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0" y="106013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40</xdr:row>
      <xdr:rowOff>0</xdr:rowOff>
    </xdr:from>
    <xdr:ext cx="9525" cy="9525"/>
    <xdr:pic>
      <xdr:nvPicPr>
        <xdr:cNvPr id="3" name="image2.gif">
          <a:extLst>
            <a:ext uri="{FF2B5EF4-FFF2-40B4-BE49-F238E27FC236}">
              <a16:creationId xmlns:a16="http://schemas.microsoft.com/office/drawing/2014/main" id="{DFC16D5E-89E4-4091-A9C9-574D008561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0" y="10601325"/>
          <a:ext cx="9525" cy="95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53</xdr:row>
      <xdr:rowOff>0</xdr:rowOff>
    </xdr:from>
    <xdr:ext cx="9525" cy="9525"/>
    <xdr:pic>
      <xdr:nvPicPr>
        <xdr:cNvPr id="2" name="image2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53</xdr:row>
      <xdr:rowOff>0</xdr:rowOff>
    </xdr:from>
    <xdr:ext cx="9525" cy="9525"/>
    <xdr:pic>
      <xdr:nvPicPr>
        <xdr:cNvPr id="3" name="image2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F7C8-569A-BC4B-A9A7-959CD14E52F2}">
  <dimension ref="A1:P17"/>
  <sheetViews>
    <sheetView showGridLines="0" workbookViewId="0">
      <selection activeCell="E1" sqref="E1"/>
    </sheetView>
  </sheetViews>
  <sheetFormatPr defaultColWidth="11.42578125" defaultRowHeight="15" x14ac:dyDescent="0.25"/>
  <sheetData>
    <row r="1" spans="1:1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17" spans="5:5" x14ac:dyDescent="0.25">
      <c r="E17" s="7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0"/>
  <sheetViews>
    <sheetView showGridLines="0" tabSelected="1" workbookViewId="0">
      <selection activeCell="D14" sqref="D14"/>
    </sheetView>
  </sheetViews>
  <sheetFormatPr defaultColWidth="14.42578125" defaultRowHeight="15" customHeight="1" x14ac:dyDescent="0.25"/>
  <cols>
    <col min="1" max="1" width="4.140625" style="2" customWidth="1"/>
    <col min="2" max="2" width="28.7109375" style="2" customWidth="1"/>
    <col min="3" max="3" width="10.28515625" style="2" customWidth="1"/>
    <col min="4" max="5" width="8.7109375" style="2" customWidth="1"/>
    <col min="6" max="6" width="24.42578125" style="2" customWidth="1"/>
    <col min="7" max="26" width="8.7109375" style="2" customWidth="1"/>
    <col min="27" max="16384" width="14.42578125" style="2"/>
  </cols>
  <sheetData>
    <row r="2" spans="1:10" x14ac:dyDescent="0.25">
      <c r="B2" s="70" t="s">
        <v>66</v>
      </c>
      <c r="J2" s="4"/>
    </row>
    <row r="3" spans="1:10" x14ac:dyDescent="0.25">
      <c r="B3" s="33" t="s">
        <v>0</v>
      </c>
      <c r="J3" s="4"/>
    </row>
    <row r="4" spans="1:10" x14ac:dyDescent="0.25">
      <c r="A4" s="4"/>
    </row>
    <row r="5" spans="1:10" x14ac:dyDescent="0.25">
      <c r="A5" s="4"/>
      <c r="B5" s="76" t="s">
        <v>1</v>
      </c>
      <c r="C5" s="71">
        <v>45208</v>
      </c>
      <c r="D5" s="72"/>
    </row>
    <row r="6" spans="1:10" x14ac:dyDescent="0.25">
      <c r="A6" s="4"/>
      <c r="B6" s="76" t="s">
        <v>3</v>
      </c>
      <c r="C6" s="74">
        <f>213.1</f>
        <v>213.1</v>
      </c>
      <c r="D6" s="72"/>
    </row>
    <row r="7" spans="1:10" x14ac:dyDescent="0.25">
      <c r="C7" s="72"/>
      <c r="D7" s="72"/>
    </row>
    <row r="8" spans="1:10" x14ac:dyDescent="0.25">
      <c r="B8" s="77" t="s">
        <v>90</v>
      </c>
      <c r="C8" s="80" t="s">
        <v>4</v>
      </c>
      <c r="D8" s="79"/>
    </row>
    <row r="11" spans="1:10" x14ac:dyDescent="0.25">
      <c r="B11" s="70" t="s">
        <v>2</v>
      </c>
      <c r="C11" s="73">
        <f ca="1">DCF!P30</f>
        <v>254.90730385308555</v>
      </c>
    </row>
    <row r="12" spans="1:10" x14ac:dyDescent="0.25">
      <c r="B12" s="75" t="s">
        <v>5</v>
      </c>
      <c r="C12" s="31">
        <f ca="1">DCF!P31</f>
        <v>0.19618631559401956</v>
      </c>
    </row>
    <row r="13" spans="1:10" x14ac:dyDescent="0.25">
      <c r="B13" s="195"/>
      <c r="C13" s="196"/>
    </row>
    <row r="14" spans="1:10" x14ac:dyDescent="0.25">
      <c r="B14" s="197"/>
      <c r="C14" s="198"/>
      <c r="F14" s="1"/>
    </row>
    <row r="21" s="2" customFormat="1" ht="15.75" customHeight="1" x14ac:dyDescent="0.25"/>
    <row r="22" s="2" customFormat="1" ht="15.75" customHeight="1" x14ac:dyDescent="0.25"/>
    <row r="23" s="2" customFormat="1" ht="15.75" customHeight="1" x14ac:dyDescent="0.25"/>
    <row r="24" s="2" customFormat="1" ht="15.75" customHeight="1" x14ac:dyDescent="0.25"/>
    <row r="25" s="2" customFormat="1" ht="15.75" customHeight="1" x14ac:dyDescent="0.25"/>
    <row r="26" s="2" customFormat="1" ht="15.75" customHeight="1" x14ac:dyDescent="0.25"/>
    <row r="27" s="2" customFormat="1" ht="15.75" customHeight="1" x14ac:dyDescent="0.25"/>
    <row r="28" s="2" customFormat="1" ht="15.75" customHeight="1" x14ac:dyDescent="0.25"/>
    <row r="29" s="2" customFormat="1" ht="15.75" customHeight="1" x14ac:dyDescent="0.25"/>
    <row r="30" s="2" customFormat="1" ht="15.75" customHeight="1" x14ac:dyDescent="0.25"/>
    <row r="31" s="2" customFormat="1" ht="15.75" customHeight="1" x14ac:dyDescent="0.25"/>
    <row r="32" s="2" customFormat="1" ht="15.75" customHeight="1" x14ac:dyDescent="0.25"/>
    <row r="33" s="2" customFormat="1" ht="15.75" customHeight="1" x14ac:dyDescent="0.25"/>
    <row r="34" s="2" customFormat="1" ht="15.75" customHeight="1" x14ac:dyDescent="0.25"/>
    <row r="35" s="2" customFormat="1" ht="15.75" customHeight="1" x14ac:dyDescent="0.25"/>
    <row r="36" s="2" customFormat="1" ht="15.75" customHeight="1" x14ac:dyDescent="0.25"/>
    <row r="37" s="2" customFormat="1" ht="15.75" customHeight="1" x14ac:dyDescent="0.25"/>
    <row r="38" s="2" customFormat="1" ht="15.75" customHeight="1" x14ac:dyDescent="0.25"/>
    <row r="39" s="2" customFormat="1" ht="15.75" customHeight="1" x14ac:dyDescent="0.25"/>
    <row r="40" s="2" customFormat="1" ht="15.75" customHeight="1" x14ac:dyDescent="0.25"/>
    <row r="41" s="2" customFormat="1" ht="15.75" customHeight="1" x14ac:dyDescent="0.25"/>
    <row r="42" s="2" customFormat="1" ht="15.75" customHeight="1" x14ac:dyDescent="0.25"/>
    <row r="43" s="2" customFormat="1" ht="15.75" customHeight="1" x14ac:dyDescent="0.25"/>
    <row r="44" s="2" customFormat="1" ht="15.75" customHeight="1" x14ac:dyDescent="0.25"/>
    <row r="45" s="2" customFormat="1" ht="15.75" customHeight="1" x14ac:dyDescent="0.25"/>
    <row r="46" s="2" customFormat="1" ht="15.75" customHeight="1" x14ac:dyDescent="0.25"/>
    <row r="47" s="2" customFormat="1" ht="15.75" customHeight="1" x14ac:dyDescent="0.25"/>
    <row r="48" s="2" customFormat="1" ht="15.75" customHeight="1" x14ac:dyDescent="0.25"/>
    <row r="49" s="2" customFormat="1" ht="15.75" customHeight="1" x14ac:dyDescent="0.25"/>
    <row r="50" s="2" customFormat="1" ht="15.75" customHeight="1" x14ac:dyDescent="0.25"/>
    <row r="51" s="2" customFormat="1" ht="15.75" customHeight="1" x14ac:dyDescent="0.25"/>
    <row r="52" s="2" customFormat="1" ht="15.75" customHeight="1" x14ac:dyDescent="0.25"/>
    <row r="53" s="2" customFormat="1" ht="15.75" customHeight="1" x14ac:dyDescent="0.25"/>
    <row r="54" s="2" customFormat="1" ht="15.75" customHeight="1" x14ac:dyDescent="0.25"/>
    <row r="55" s="2" customFormat="1" ht="15.75" customHeight="1" x14ac:dyDescent="0.25"/>
    <row r="56" s="2" customFormat="1" ht="15.75" customHeight="1" x14ac:dyDescent="0.25"/>
    <row r="57" s="2" customFormat="1" ht="15.75" customHeight="1" x14ac:dyDescent="0.25"/>
    <row r="58" s="2" customFormat="1" ht="15.75" customHeight="1" x14ac:dyDescent="0.25"/>
    <row r="59" s="2" customFormat="1" ht="15.75" customHeight="1" x14ac:dyDescent="0.25"/>
    <row r="60" s="2" customFormat="1" ht="15.75" customHeight="1" x14ac:dyDescent="0.25"/>
    <row r="61" s="2" customFormat="1" ht="15.75" customHeight="1" x14ac:dyDescent="0.25"/>
    <row r="62" s="2" customFormat="1" ht="15.75" customHeight="1" x14ac:dyDescent="0.25"/>
    <row r="63" s="2" customFormat="1" ht="15.75" customHeight="1" x14ac:dyDescent="0.25"/>
    <row r="64" s="2" customFormat="1" ht="15.75" customHeight="1" x14ac:dyDescent="0.25"/>
    <row r="65" s="2" customFormat="1" ht="15.75" customHeight="1" x14ac:dyDescent="0.25"/>
    <row r="66" s="2" customFormat="1" ht="15.75" customHeight="1" x14ac:dyDescent="0.25"/>
    <row r="67" s="2" customFormat="1" ht="15.75" customHeight="1" x14ac:dyDescent="0.25"/>
    <row r="68" s="2" customFormat="1" ht="15.75" customHeight="1" x14ac:dyDescent="0.25"/>
    <row r="69" s="2" customFormat="1" ht="15.75" customHeight="1" x14ac:dyDescent="0.25"/>
    <row r="70" s="2" customFormat="1" ht="15.75" customHeight="1" x14ac:dyDescent="0.25"/>
    <row r="71" s="2" customFormat="1" ht="15.75" customHeight="1" x14ac:dyDescent="0.25"/>
    <row r="72" s="2" customFormat="1" ht="15.75" customHeight="1" x14ac:dyDescent="0.25"/>
    <row r="73" s="2" customFormat="1" ht="15.75" customHeight="1" x14ac:dyDescent="0.25"/>
    <row r="74" s="2" customFormat="1" ht="15.75" customHeight="1" x14ac:dyDescent="0.25"/>
    <row r="75" s="2" customFormat="1" ht="15.75" customHeight="1" x14ac:dyDescent="0.25"/>
    <row r="76" s="2" customFormat="1" ht="15.75" customHeight="1" x14ac:dyDescent="0.25"/>
    <row r="77" s="2" customFormat="1" ht="15.75" customHeight="1" x14ac:dyDescent="0.25"/>
    <row r="78" s="2" customFormat="1" ht="15.75" customHeight="1" x14ac:dyDescent="0.25"/>
    <row r="79" s="2" customFormat="1" ht="15.75" customHeight="1" x14ac:dyDescent="0.25"/>
    <row r="80" s="2" customFormat="1" ht="15.75" customHeight="1" x14ac:dyDescent="0.25"/>
    <row r="81" s="2" customFormat="1" ht="15.75" customHeight="1" x14ac:dyDescent="0.25"/>
    <row r="82" s="2" customFormat="1" ht="15.75" customHeight="1" x14ac:dyDescent="0.25"/>
    <row r="83" s="2" customFormat="1" ht="15.75" customHeight="1" x14ac:dyDescent="0.25"/>
    <row r="84" s="2" customFormat="1" ht="15.75" customHeight="1" x14ac:dyDescent="0.25"/>
    <row r="85" s="2" customFormat="1" ht="15.75" customHeight="1" x14ac:dyDescent="0.25"/>
    <row r="86" s="2" customFormat="1" ht="15.75" customHeight="1" x14ac:dyDescent="0.25"/>
    <row r="87" s="2" customFormat="1" ht="15.75" customHeight="1" x14ac:dyDescent="0.25"/>
    <row r="88" s="2" customFormat="1" ht="15.75" customHeight="1" x14ac:dyDescent="0.25"/>
    <row r="89" s="2" customFormat="1" ht="15.75" customHeight="1" x14ac:dyDescent="0.25"/>
    <row r="90" s="2" customFormat="1" ht="15.75" customHeight="1" x14ac:dyDescent="0.25"/>
    <row r="91" s="2" customFormat="1" ht="15.75" customHeight="1" x14ac:dyDescent="0.25"/>
    <row r="92" s="2" customFormat="1" ht="15.75" customHeight="1" x14ac:dyDescent="0.25"/>
    <row r="93" s="2" customFormat="1" ht="15.75" customHeight="1" x14ac:dyDescent="0.25"/>
    <row r="94" s="2" customFormat="1" ht="15.75" customHeight="1" x14ac:dyDescent="0.25"/>
    <row r="95" s="2" customFormat="1" ht="15.75" customHeight="1" x14ac:dyDescent="0.25"/>
    <row r="96" s="2" customFormat="1" ht="15.75" customHeight="1" x14ac:dyDescent="0.25"/>
    <row r="97" s="2" customFormat="1" ht="15.75" customHeight="1" x14ac:dyDescent="0.25"/>
    <row r="98" s="2" customFormat="1" ht="15.75" customHeight="1" x14ac:dyDescent="0.25"/>
    <row r="99" s="2" customFormat="1" ht="15.75" customHeight="1" x14ac:dyDescent="0.25"/>
    <row r="100" s="2" customFormat="1" ht="15.75" customHeight="1" x14ac:dyDescent="0.25"/>
    <row r="101" s="2" customFormat="1" ht="15.75" customHeight="1" x14ac:dyDescent="0.25"/>
    <row r="102" s="2" customFormat="1" ht="15.75" customHeight="1" x14ac:dyDescent="0.25"/>
    <row r="103" s="2" customFormat="1" ht="15.75" customHeight="1" x14ac:dyDescent="0.25"/>
    <row r="104" s="2" customFormat="1" ht="15.75" customHeight="1" x14ac:dyDescent="0.25"/>
    <row r="105" s="2" customFormat="1" ht="15.75" customHeight="1" x14ac:dyDescent="0.25"/>
    <row r="106" s="2" customFormat="1" ht="15.75" customHeight="1" x14ac:dyDescent="0.25"/>
    <row r="107" s="2" customFormat="1" ht="15.75" customHeight="1" x14ac:dyDescent="0.25"/>
    <row r="108" s="2" customFormat="1" ht="15.75" customHeight="1" x14ac:dyDescent="0.25"/>
    <row r="109" s="2" customFormat="1" ht="15.75" customHeight="1" x14ac:dyDescent="0.25"/>
    <row r="110" s="2" customFormat="1" ht="15.75" customHeight="1" x14ac:dyDescent="0.25"/>
    <row r="111" s="2" customFormat="1" ht="15.75" customHeight="1" x14ac:dyDescent="0.25"/>
    <row r="112" s="2" customFormat="1" ht="15.75" customHeight="1" x14ac:dyDescent="0.25"/>
    <row r="113" s="2" customFormat="1" ht="15.75" customHeight="1" x14ac:dyDescent="0.25"/>
    <row r="114" s="2" customFormat="1" ht="15.75" customHeight="1" x14ac:dyDescent="0.25"/>
    <row r="115" s="2" customFormat="1" ht="15.75" customHeight="1" x14ac:dyDescent="0.25"/>
    <row r="116" s="2" customFormat="1" ht="15.75" customHeight="1" x14ac:dyDescent="0.25"/>
    <row r="117" s="2" customFormat="1" ht="15.75" customHeight="1" x14ac:dyDescent="0.25"/>
    <row r="118" s="2" customFormat="1" ht="15.75" customHeight="1" x14ac:dyDescent="0.25"/>
    <row r="119" s="2" customFormat="1" ht="15.75" customHeight="1" x14ac:dyDescent="0.25"/>
    <row r="120" s="2" customFormat="1" ht="15.75" customHeight="1" x14ac:dyDescent="0.25"/>
    <row r="121" s="2" customFormat="1" ht="15.75" customHeight="1" x14ac:dyDescent="0.25"/>
    <row r="122" s="2" customFormat="1" ht="15.75" customHeight="1" x14ac:dyDescent="0.25"/>
    <row r="123" s="2" customFormat="1" ht="15.75" customHeight="1" x14ac:dyDescent="0.25"/>
    <row r="124" s="2" customFormat="1" ht="15.75" customHeight="1" x14ac:dyDescent="0.25"/>
    <row r="125" s="2" customFormat="1" ht="15.75" customHeight="1" x14ac:dyDescent="0.25"/>
    <row r="126" s="2" customFormat="1" ht="15.75" customHeight="1" x14ac:dyDescent="0.25"/>
    <row r="127" s="2" customFormat="1" ht="15.75" customHeight="1" x14ac:dyDescent="0.25"/>
    <row r="128" s="2" customFormat="1" ht="15.75" customHeight="1" x14ac:dyDescent="0.25"/>
    <row r="129" s="2" customFormat="1" ht="15.75" customHeight="1" x14ac:dyDescent="0.25"/>
    <row r="130" s="2" customFormat="1" ht="15.75" customHeight="1" x14ac:dyDescent="0.25"/>
    <row r="131" s="2" customFormat="1" ht="15.75" customHeight="1" x14ac:dyDescent="0.25"/>
    <row r="132" s="2" customFormat="1" ht="15.75" customHeight="1" x14ac:dyDescent="0.25"/>
    <row r="133" s="2" customFormat="1" ht="15.75" customHeight="1" x14ac:dyDescent="0.25"/>
    <row r="134" s="2" customFormat="1" ht="15.75" customHeight="1" x14ac:dyDescent="0.25"/>
    <row r="135" s="2" customFormat="1" ht="15.75" customHeight="1" x14ac:dyDescent="0.25"/>
    <row r="136" s="2" customFormat="1" ht="15.75" customHeight="1" x14ac:dyDescent="0.25"/>
    <row r="137" s="2" customFormat="1" ht="15.75" customHeight="1" x14ac:dyDescent="0.25"/>
    <row r="138" s="2" customFormat="1" ht="15.75" customHeight="1" x14ac:dyDescent="0.25"/>
    <row r="139" s="2" customFormat="1" ht="15.75" customHeight="1" x14ac:dyDescent="0.25"/>
    <row r="140" s="2" customFormat="1" ht="15.75" customHeight="1" x14ac:dyDescent="0.25"/>
    <row r="141" s="2" customFormat="1" ht="15.75" customHeight="1" x14ac:dyDescent="0.25"/>
    <row r="142" s="2" customFormat="1" ht="15.75" customHeight="1" x14ac:dyDescent="0.25"/>
    <row r="143" s="2" customFormat="1" ht="15.75" customHeight="1" x14ac:dyDescent="0.25"/>
    <row r="144" s="2" customFormat="1" ht="15.75" customHeight="1" x14ac:dyDescent="0.25"/>
    <row r="145" s="2" customFormat="1" ht="15.75" customHeight="1" x14ac:dyDescent="0.25"/>
    <row r="146" s="2" customFormat="1" ht="15.75" customHeight="1" x14ac:dyDescent="0.25"/>
    <row r="147" s="2" customFormat="1" ht="15.75" customHeight="1" x14ac:dyDescent="0.25"/>
    <row r="148" s="2" customFormat="1" ht="15.75" customHeight="1" x14ac:dyDescent="0.25"/>
    <row r="149" s="2" customFormat="1" ht="15.75" customHeight="1" x14ac:dyDescent="0.25"/>
    <row r="150" s="2" customFormat="1" ht="15.75" customHeight="1" x14ac:dyDescent="0.25"/>
    <row r="151" s="2" customFormat="1" ht="15.75" customHeight="1" x14ac:dyDescent="0.25"/>
    <row r="152" s="2" customFormat="1" ht="15.75" customHeight="1" x14ac:dyDescent="0.25"/>
    <row r="153" s="2" customFormat="1" ht="15.75" customHeight="1" x14ac:dyDescent="0.25"/>
    <row r="154" s="2" customFormat="1" ht="15.75" customHeight="1" x14ac:dyDescent="0.25"/>
    <row r="155" s="2" customFormat="1" ht="15.75" customHeight="1" x14ac:dyDescent="0.25"/>
    <row r="156" s="2" customFormat="1" ht="15.75" customHeight="1" x14ac:dyDescent="0.25"/>
    <row r="157" s="2" customFormat="1" ht="15.75" customHeight="1" x14ac:dyDescent="0.25"/>
    <row r="158" s="2" customFormat="1" ht="15.75" customHeight="1" x14ac:dyDescent="0.25"/>
    <row r="159" s="2" customFormat="1" ht="15.75" customHeight="1" x14ac:dyDescent="0.25"/>
    <row r="160" s="2" customFormat="1" ht="15.75" customHeight="1" x14ac:dyDescent="0.25"/>
    <row r="161" s="2" customFormat="1" ht="15.75" customHeight="1" x14ac:dyDescent="0.25"/>
    <row r="162" s="2" customFormat="1" ht="15.75" customHeight="1" x14ac:dyDescent="0.25"/>
    <row r="163" s="2" customFormat="1" ht="15.75" customHeight="1" x14ac:dyDescent="0.25"/>
    <row r="164" s="2" customFormat="1" ht="15.75" customHeight="1" x14ac:dyDescent="0.25"/>
    <row r="165" s="2" customFormat="1" ht="15.75" customHeight="1" x14ac:dyDescent="0.25"/>
    <row r="166" s="2" customFormat="1" ht="15.75" customHeight="1" x14ac:dyDescent="0.25"/>
    <row r="167" s="2" customFormat="1" ht="15.75" customHeight="1" x14ac:dyDescent="0.25"/>
    <row r="168" s="2" customFormat="1" ht="15.75" customHeight="1" x14ac:dyDescent="0.25"/>
    <row r="169" s="2" customFormat="1" ht="15.75" customHeight="1" x14ac:dyDescent="0.25"/>
    <row r="170" s="2" customFormat="1" ht="15.75" customHeight="1" x14ac:dyDescent="0.25"/>
    <row r="171" s="2" customFormat="1" ht="15.75" customHeight="1" x14ac:dyDescent="0.25"/>
    <row r="172" s="2" customFormat="1" ht="15.75" customHeight="1" x14ac:dyDescent="0.25"/>
    <row r="173" s="2" customFormat="1" ht="15.75" customHeight="1" x14ac:dyDescent="0.25"/>
    <row r="174" s="2" customFormat="1" ht="15.75" customHeight="1" x14ac:dyDescent="0.25"/>
    <row r="175" s="2" customFormat="1" ht="15.75" customHeight="1" x14ac:dyDescent="0.25"/>
    <row r="176" s="2" customFormat="1" ht="15.75" customHeight="1" x14ac:dyDescent="0.25"/>
    <row r="177" s="2" customFormat="1" ht="15.75" customHeight="1" x14ac:dyDescent="0.25"/>
    <row r="178" s="2" customFormat="1" ht="15.75" customHeight="1" x14ac:dyDescent="0.25"/>
    <row r="179" s="2" customFormat="1" ht="15.75" customHeight="1" x14ac:dyDescent="0.25"/>
    <row r="180" s="2" customFormat="1" ht="15.75" customHeight="1" x14ac:dyDescent="0.25"/>
    <row r="181" s="2" customFormat="1" ht="15.75" customHeight="1" x14ac:dyDescent="0.25"/>
    <row r="182" s="2" customFormat="1" ht="15.75" customHeight="1" x14ac:dyDescent="0.25"/>
    <row r="183" s="2" customFormat="1" ht="15.75" customHeight="1" x14ac:dyDescent="0.25"/>
    <row r="184" s="2" customFormat="1" ht="15.75" customHeight="1" x14ac:dyDescent="0.25"/>
    <row r="185" s="2" customFormat="1" ht="15.75" customHeight="1" x14ac:dyDescent="0.25"/>
    <row r="186" s="2" customFormat="1" ht="15.75" customHeight="1" x14ac:dyDescent="0.25"/>
    <row r="187" s="2" customFormat="1" ht="15.75" customHeight="1" x14ac:dyDescent="0.25"/>
    <row r="188" s="2" customFormat="1" ht="15.75" customHeight="1" x14ac:dyDescent="0.25"/>
    <row r="189" s="2" customFormat="1" ht="15.75" customHeight="1" x14ac:dyDescent="0.25"/>
    <row r="190" s="2" customFormat="1" ht="15.75" customHeight="1" x14ac:dyDescent="0.25"/>
    <row r="191" s="2" customFormat="1" ht="15.75" customHeight="1" x14ac:dyDescent="0.25"/>
    <row r="192" s="2" customFormat="1" ht="15.75" customHeight="1" x14ac:dyDescent="0.25"/>
    <row r="193" s="2" customFormat="1" ht="15.75" customHeight="1" x14ac:dyDescent="0.25"/>
    <row r="194" s="2" customFormat="1" ht="15.75" customHeight="1" x14ac:dyDescent="0.25"/>
    <row r="195" s="2" customFormat="1" ht="15.75" customHeight="1" x14ac:dyDescent="0.25"/>
    <row r="196" s="2" customFormat="1" ht="15.75" customHeight="1" x14ac:dyDescent="0.25"/>
    <row r="197" s="2" customFormat="1" ht="15.75" customHeight="1" x14ac:dyDescent="0.25"/>
    <row r="198" s="2" customFormat="1" ht="15.75" customHeight="1" x14ac:dyDescent="0.25"/>
    <row r="199" s="2" customFormat="1" ht="15.75" customHeight="1" x14ac:dyDescent="0.25"/>
    <row r="200" s="2" customFormat="1" ht="15.75" customHeight="1" x14ac:dyDescent="0.25"/>
    <row r="201" s="2" customFormat="1" ht="15.75" customHeight="1" x14ac:dyDescent="0.25"/>
    <row r="202" s="2" customFormat="1" ht="15.75" customHeight="1" x14ac:dyDescent="0.25"/>
    <row r="203" s="2" customFormat="1" ht="15.75" customHeight="1" x14ac:dyDescent="0.25"/>
    <row r="204" s="2" customFormat="1" ht="15.75" customHeight="1" x14ac:dyDescent="0.25"/>
    <row r="205" s="2" customFormat="1" ht="15.75" customHeight="1" x14ac:dyDescent="0.25"/>
    <row r="206" s="2" customFormat="1" ht="15.75" customHeight="1" x14ac:dyDescent="0.25"/>
    <row r="207" s="2" customFormat="1" ht="15.75" customHeight="1" x14ac:dyDescent="0.25"/>
    <row r="208" s="2" customFormat="1" ht="15.75" customHeight="1" x14ac:dyDescent="0.25"/>
    <row r="209" s="2" customFormat="1" ht="15.75" customHeight="1" x14ac:dyDescent="0.25"/>
    <row r="210" s="2" customFormat="1" ht="15.75" customHeight="1" x14ac:dyDescent="0.25"/>
    <row r="211" s="2" customFormat="1" ht="15.75" customHeight="1" x14ac:dyDescent="0.25"/>
    <row r="212" s="2" customFormat="1" ht="15.75" customHeight="1" x14ac:dyDescent="0.25"/>
    <row r="213" s="2" customFormat="1" ht="15.75" customHeight="1" x14ac:dyDescent="0.25"/>
    <row r="214" s="2" customFormat="1" ht="15.75" customHeight="1" x14ac:dyDescent="0.25"/>
    <row r="215" s="2" customFormat="1" ht="15.75" customHeight="1" x14ac:dyDescent="0.25"/>
    <row r="216" s="2" customFormat="1" ht="15.75" customHeight="1" x14ac:dyDescent="0.25"/>
    <row r="217" s="2" customFormat="1" ht="15.75" customHeight="1" x14ac:dyDescent="0.25"/>
    <row r="218" s="2" customFormat="1" ht="15.75" customHeight="1" x14ac:dyDescent="0.25"/>
    <row r="219" s="2" customFormat="1" ht="15.75" customHeight="1" x14ac:dyDescent="0.25"/>
    <row r="220" s="2" customFormat="1" ht="15.75" customHeight="1" x14ac:dyDescent="0.25"/>
    <row r="221" s="2" customFormat="1" ht="15.75" customHeight="1" x14ac:dyDescent="0.25"/>
    <row r="222" s="2" customFormat="1" ht="15.75" customHeight="1" x14ac:dyDescent="0.25"/>
    <row r="223" s="2" customFormat="1" ht="15.75" customHeight="1" x14ac:dyDescent="0.25"/>
    <row r="224" s="2" customFormat="1" ht="15.75" customHeight="1" x14ac:dyDescent="0.25"/>
    <row r="225" s="2" customFormat="1" ht="15.75" customHeight="1" x14ac:dyDescent="0.25"/>
    <row r="226" s="2" customFormat="1" ht="15.75" customHeight="1" x14ac:dyDescent="0.25"/>
    <row r="227" s="2" customFormat="1" ht="15.75" customHeight="1" x14ac:dyDescent="0.25"/>
    <row r="228" s="2" customFormat="1" ht="15.75" customHeight="1" x14ac:dyDescent="0.25"/>
    <row r="229" s="2" customFormat="1" ht="15.75" customHeight="1" x14ac:dyDescent="0.25"/>
    <row r="230" s="2" customFormat="1" ht="15.75" customHeight="1" x14ac:dyDescent="0.25"/>
    <row r="231" s="2" customFormat="1" ht="15.75" customHeight="1" x14ac:dyDescent="0.25"/>
    <row r="232" s="2" customFormat="1" ht="15.75" customHeight="1" x14ac:dyDescent="0.25"/>
    <row r="233" s="2" customFormat="1" ht="15.75" customHeight="1" x14ac:dyDescent="0.25"/>
    <row r="234" s="2" customFormat="1" ht="15.75" customHeight="1" x14ac:dyDescent="0.25"/>
    <row r="235" s="2" customFormat="1" ht="15.75" customHeight="1" x14ac:dyDescent="0.25"/>
    <row r="236" s="2" customFormat="1" ht="15.75" customHeight="1" x14ac:dyDescent="0.25"/>
    <row r="237" s="2" customFormat="1" ht="15.75" customHeight="1" x14ac:dyDescent="0.25"/>
    <row r="238" s="2" customFormat="1" ht="15.75" customHeight="1" x14ac:dyDescent="0.25"/>
    <row r="239" s="2" customFormat="1" ht="15.75" customHeight="1" x14ac:dyDescent="0.25"/>
    <row r="240" s="2" customFormat="1" ht="15.75" customHeight="1" x14ac:dyDescent="0.25"/>
    <row r="241" s="2" customFormat="1" ht="15.75" customHeight="1" x14ac:dyDescent="0.25"/>
    <row r="242" s="2" customFormat="1" ht="15.75" customHeight="1" x14ac:dyDescent="0.25"/>
    <row r="243" s="2" customFormat="1" ht="15.75" customHeight="1" x14ac:dyDescent="0.25"/>
    <row r="244" s="2" customFormat="1" ht="15.75" customHeight="1" x14ac:dyDescent="0.25"/>
    <row r="245" s="2" customFormat="1" ht="15.75" customHeight="1" x14ac:dyDescent="0.25"/>
    <row r="246" s="2" customFormat="1" ht="15.75" customHeight="1" x14ac:dyDescent="0.25"/>
    <row r="247" s="2" customFormat="1" ht="15.75" customHeight="1" x14ac:dyDescent="0.25"/>
    <row r="248" s="2" customFormat="1" ht="15.75" customHeight="1" x14ac:dyDescent="0.25"/>
    <row r="249" s="2" customFormat="1" ht="15.75" customHeight="1" x14ac:dyDescent="0.25"/>
    <row r="250" s="2" customFormat="1" ht="15.75" customHeight="1" x14ac:dyDescent="0.25"/>
    <row r="251" s="2" customFormat="1" ht="15.75" customHeight="1" x14ac:dyDescent="0.25"/>
    <row r="252" s="2" customFormat="1" ht="15.75" customHeight="1" x14ac:dyDescent="0.25"/>
    <row r="253" s="2" customFormat="1" ht="15.75" customHeight="1" x14ac:dyDescent="0.25"/>
    <row r="254" s="2" customFormat="1" ht="15.75" customHeight="1" x14ac:dyDescent="0.25"/>
    <row r="255" s="2" customFormat="1" ht="15.75" customHeight="1" x14ac:dyDescent="0.25"/>
    <row r="256" s="2" customFormat="1" ht="15.75" customHeight="1" x14ac:dyDescent="0.25"/>
    <row r="257" s="2" customFormat="1" ht="15.75" customHeight="1" x14ac:dyDescent="0.25"/>
    <row r="258" s="2" customFormat="1" ht="15.75" customHeight="1" x14ac:dyDescent="0.25"/>
    <row r="259" s="2" customFormat="1" ht="15.75" customHeight="1" x14ac:dyDescent="0.25"/>
    <row r="260" s="2" customFormat="1" ht="15.75" customHeight="1" x14ac:dyDescent="0.25"/>
    <row r="261" s="2" customFormat="1" ht="15.75" customHeight="1" x14ac:dyDescent="0.25"/>
    <row r="262" s="2" customFormat="1" ht="15.75" customHeight="1" x14ac:dyDescent="0.25"/>
    <row r="263" s="2" customFormat="1" ht="15.75" customHeight="1" x14ac:dyDescent="0.25"/>
    <row r="264" s="2" customFormat="1" ht="15.75" customHeight="1" x14ac:dyDescent="0.25"/>
    <row r="265" s="2" customFormat="1" ht="15.75" customHeight="1" x14ac:dyDescent="0.25"/>
    <row r="266" s="2" customFormat="1" ht="15.75" customHeight="1" x14ac:dyDescent="0.25"/>
    <row r="267" s="2" customFormat="1" ht="15.75" customHeight="1" x14ac:dyDescent="0.25"/>
    <row r="268" s="2" customFormat="1" ht="15.75" customHeight="1" x14ac:dyDescent="0.25"/>
    <row r="269" s="2" customFormat="1" ht="15.75" customHeight="1" x14ac:dyDescent="0.25"/>
    <row r="270" s="2" customFormat="1" ht="15.75" customHeight="1" x14ac:dyDescent="0.25"/>
    <row r="271" s="2" customFormat="1" ht="15.75" customHeight="1" x14ac:dyDescent="0.25"/>
    <row r="272" s="2" customFormat="1" ht="15.75" customHeight="1" x14ac:dyDescent="0.25"/>
    <row r="273" s="2" customFormat="1" ht="15.75" customHeight="1" x14ac:dyDescent="0.25"/>
    <row r="274" s="2" customFormat="1" ht="15.75" customHeight="1" x14ac:dyDescent="0.25"/>
    <row r="275" s="2" customFormat="1" ht="15.75" customHeight="1" x14ac:dyDescent="0.25"/>
    <row r="276" s="2" customFormat="1" ht="15.75" customHeight="1" x14ac:dyDescent="0.25"/>
    <row r="277" s="2" customFormat="1" ht="15.75" customHeight="1" x14ac:dyDescent="0.25"/>
    <row r="278" s="2" customFormat="1" ht="15.75" customHeight="1" x14ac:dyDescent="0.25"/>
    <row r="279" s="2" customFormat="1" ht="15.75" customHeight="1" x14ac:dyDescent="0.25"/>
    <row r="280" s="2" customFormat="1" ht="15.75" customHeight="1" x14ac:dyDescent="0.25"/>
    <row r="281" s="2" customFormat="1" ht="15.75" customHeight="1" x14ac:dyDescent="0.25"/>
    <row r="282" s="2" customFormat="1" ht="15.75" customHeight="1" x14ac:dyDescent="0.25"/>
    <row r="283" s="2" customFormat="1" ht="15.75" customHeight="1" x14ac:dyDescent="0.25"/>
    <row r="284" s="2" customFormat="1" ht="15.75" customHeight="1" x14ac:dyDescent="0.25"/>
    <row r="285" s="2" customFormat="1" ht="15.75" customHeight="1" x14ac:dyDescent="0.25"/>
    <row r="286" s="2" customFormat="1" ht="15.75" customHeight="1" x14ac:dyDescent="0.25"/>
    <row r="287" s="2" customFormat="1" ht="15.75" customHeight="1" x14ac:dyDescent="0.25"/>
    <row r="288" s="2" customFormat="1" ht="15.75" customHeight="1" x14ac:dyDescent="0.25"/>
    <row r="289" s="2" customFormat="1" ht="15.75" customHeight="1" x14ac:dyDescent="0.25"/>
    <row r="290" s="2" customFormat="1" ht="15.75" customHeight="1" x14ac:dyDescent="0.25"/>
    <row r="291" s="2" customFormat="1" ht="15.75" customHeight="1" x14ac:dyDescent="0.25"/>
    <row r="292" s="2" customFormat="1" ht="15.75" customHeight="1" x14ac:dyDescent="0.25"/>
    <row r="293" s="2" customFormat="1" ht="15.75" customHeight="1" x14ac:dyDescent="0.25"/>
    <row r="294" s="2" customFormat="1" ht="15.75" customHeight="1" x14ac:dyDescent="0.25"/>
    <row r="295" s="2" customFormat="1" ht="15.75" customHeight="1" x14ac:dyDescent="0.25"/>
    <row r="296" s="2" customFormat="1" ht="15.75" customHeight="1" x14ac:dyDescent="0.25"/>
    <row r="297" s="2" customFormat="1" ht="15.75" customHeight="1" x14ac:dyDescent="0.25"/>
    <row r="298" s="2" customFormat="1" ht="15.75" customHeight="1" x14ac:dyDescent="0.25"/>
    <row r="299" s="2" customFormat="1" ht="15.75" customHeight="1" x14ac:dyDescent="0.25"/>
    <row r="300" s="2" customFormat="1" ht="15.75" customHeight="1" x14ac:dyDescent="0.25"/>
    <row r="301" s="2" customFormat="1" ht="15.75" customHeight="1" x14ac:dyDescent="0.25"/>
    <row r="302" s="2" customFormat="1" ht="15.75" customHeight="1" x14ac:dyDescent="0.25"/>
    <row r="303" s="2" customFormat="1" ht="15.75" customHeight="1" x14ac:dyDescent="0.25"/>
    <row r="304" s="2" customFormat="1" ht="15.75" customHeight="1" x14ac:dyDescent="0.25"/>
    <row r="305" s="2" customFormat="1" ht="15.75" customHeight="1" x14ac:dyDescent="0.25"/>
    <row r="306" s="2" customFormat="1" ht="15.75" customHeight="1" x14ac:dyDescent="0.25"/>
    <row r="307" s="2" customFormat="1" ht="15.75" customHeight="1" x14ac:dyDescent="0.25"/>
    <row r="308" s="2" customFormat="1" ht="15.75" customHeight="1" x14ac:dyDescent="0.25"/>
    <row r="309" s="2" customFormat="1" ht="15.75" customHeight="1" x14ac:dyDescent="0.25"/>
    <row r="310" s="2" customFormat="1" ht="15.75" customHeight="1" x14ac:dyDescent="0.25"/>
    <row r="311" s="2" customFormat="1" ht="15.75" customHeight="1" x14ac:dyDescent="0.25"/>
    <row r="312" s="2" customFormat="1" ht="15.75" customHeight="1" x14ac:dyDescent="0.25"/>
    <row r="313" s="2" customFormat="1" ht="15.75" customHeight="1" x14ac:dyDescent="0.25"/>
    <row r="314" s="2" customFormat="1" ht="15.75" customHeight="1" x14ac:dyDescent="0.25"/>
    <row r="315" s="2" customFormat="1" ht="15.75" customHeight="1" x14ac:dyDescent="0.25"/>
    <row r="316" s="2" customFormat="1" ht="15.75" customHeight="1" x14ac:dyDescent="0.25"/>
    <row r="317" s="2" customFormat="1" ht="15.75" customHeight="1" x14ac:dyDescent="0.25"/>
    <row r="318" s="2" customFormat="1" ht="15.75" customHeight="1" x14ac:dyDescent="0.25"/>
    <row r="319" s="2" customFormat="1" ht="15.75" customHeight="1" x14ac:dyDescent="0.25"/>
    <row r="320" s="2" customFormat="1" ht="15.75" customHeight="1" x14ac:dyDescent="0.25"/>
    <row r="321" s="2" customFormat="1" ht="15.75" customHeight="1" x14ac:dyDescent="0.25"/>
    <row r="322" s="2" customFormat="1" ht="15.75" customHeight="1" x14ac:dyDescent="0.25"/>
    <row r="323" s="2" customFormat="1" ht="15.75" customHeight="1" x14ac:dyDescent="0.25"/>
    <row r="324" s="2" customFormat="1" ht="15.75" customHeight="1" x14ac:dyDescent="0.25"/>
    <row r="325" s="2" customFormat="1" ht="15.75" customHeight="1" x14ac:dyDescent="0.25"/>
    <row r="326" s="2" customFormat="1" ht="15.75" customHeight="1" x14ac:dyDescent="0.25"/>
    <row r="327" s="2" customFormat="1" ht="15.75" customHeight="1" x14ac:dyDescent="0.25"/>
    <row r="328" s="2" customFormat="1" ht="15.75" customHeight="1" x14ac:dyDescent="0.25"/>
    <row r="329" s="2" customFormat="1" ht="15.75" customHeight="1" x14ac:dyDescent="0.25"/>
    <row r="330" s="2" customFormat="1" ht="15.75" customHeight="1" x14ac:dyDescent="0.25"/>
    <row r="331" s="2" customFormat="1" ht="15.75" customHeight="1" x14ac:dyDescent="0.25"/>
    <row r="332" s="2" customFormat="1" ht="15.75" customHeight="1" x14ac:dyDescent="0.25"/>
    <row r="333" s="2" customFormat="1" ht="15.75" customHeight="1" x14ac:dyDescent="0.25"/>
    <row r="334" s="2" customFormat="1" ht="15.75" customHeight="1" x14ac:dyDescent="0.25"/>
    <row r="335" s="2" customFormat="1" ht="15.75" customHeight="1" x14ac:dyDescent="0.25"/>
    <row r="336" s="2" customFormat="1" ht="15.75" customHeight="1" x14ac:dyDescent="0.25"/>
    <row r="337" s="2" customFormat="1" ht="15.75" customHeight="1" x14ac:dyDescent="0.25"/>
    <row r="338" s="2" customFormat="1" ht="15.75" customHeight="1" x14ac:dyDescent="0.25"/>
    <row r="339" s="2" customFormat="1" ht="15.75" customHeight="1" x14ac:dyDescent="0.25"/>
    <row r="340" s="2" customFormat="1" ht="15.75" customHeight="1" x14ac:dyDescent="0.25"/>
    <row r="341" s="2" customFormat="1" ht="15.75" customHeight="1" x14ac:dyDescent="0.25"/>
    <row r="342" s="2" customFormat="1" ht="15.75" customHeight="1" x14ac:dyDescent="0.25"/>
    <row r="343" s="2" customFormat="1" ht="15.75" customHeight="1" x14ac:dyDescent="0.25"/>
    <row r="344" s="2" customFormat="1" ht="15.75" customHeight="1" x14ac:dyDescent="0.25"/>
    <row r="345" s="2" customFormat="1" ht="15.75" customHeight="1" x14ac:dyDescent="0.25"/>
    <row r="346" s="2" customFormat="1" ht="15.75" customHeight="1" x14ac:dyDescent="0.25"/>
    <row r="347" s="2" customFormat="1" ht="15.75" customHeight="1" x14ac:dyDescent="0.25"/>
    <row r="348" s="2" customFormat="1" ht="15.75" customHeight="1" x14ac:dyDescent="0.25"/>
    <row r="349" s="2" customFormat="1" ht="15.75" customHeight="1" x14ac:dyDescent="0.25"/>
    <row r="350" s="2" customFormat="1" ht="15.75" customHeight="1" x14ac:dyDescent="0.25"/>
    <row r="351" s="2" customFormat="1" ht="15.75" customHeight="1" x14ac:dyDescent="0.25"/>
    <row r="352" s="2" customFormat="1" ht="15.75" customHeight="1" x14ac:dyDescent="0.25"/>
    <row r="353" s="2" customFormat="1" ht="15.75" customHeight="1" x14ac:dyDescent="0.25"/>
    <row r="354" s="2" customFormat="1" ht="15.75" customHeight="1" x14ac:dyDescent="0.25"/>
    <row r="355" s="2" customFormat="1" ht="15.75" customHeight="1" x14ac:dyDescent="0.25"/>
    <row r="356" s="2" customFormat="1" ht="15.75" customHeight="1" x14ac:dyDescent="0.25"/>
    <row r="357" s="2" customFormat="1" ht="15.75" customHeight="1" x14ac:dyDescent="0.25"/>
    <row r="358" s="2" customFormat="1" ht="15.75" customHeight="1" x14ac:dyDescent="0.25"/>
    <row r="359" s="2" customFormat="1" ht="15.75" customHeight="1" x14ac:dyDescent="0.25"/>
    <row r="360" s="2" customFormat="1" ht="15.75" customHeight="1" x14ac:dyDescent="0.25"/>
    <row r="361" s="2" customFormat="1" ht="15.75" customHeight="1" x14ac:dyDescent="0.25"/>
    <row r="362" s="2" customFormat="1" ht="15.75" customHeight="1" x14ac:dyDescent="0.25"/>
    <row r="363" s="2" customFormat="1" ht="15.75" customHeight="1" x14ac:dyDescent="0.25"/>
    <row r="364" s="2" customFormat="1" ht="15.75" customHeight="1" x14ac:dyDescent="0.25"/>
    <row r="365" s="2" customFormat="1" ht="15.75" customHeight="1" x14ac:dyDescent="0.25"/>
    <row r="366" s="2" customFormat="1" ht="15.75" customHeight="1" x14ac:dyDescent="0.25"/>
    <row r="367" s="2" customFormat="1" ht="15.75" customHeight="1" x14ac:dyDescent="0.25"/>
    <row r="368" s="2" customFormat="1" ht="15.75" customHeight="1" x14ac:dyDescent="0.25"/>
    <row r="369" s="2" customFormat="1" ht="15.75" customHeight="1" x14ac:dyDescent="0.25"/>
    <row r="370" s="2" customFormat="1" ht="15.75" customHeight="1" x14ac:dyDescent="0.25"/>
    <row r="371" s="2" customFormat="1" ht="15.75" customHeight="1" x14ac:dyDescent="0.25"/>
    <row r="372" s="2" customFormat="1" ht="15.75" customHeight="1" x14ac:dyDescent="0.25"/>
    <row r="373" s="2" customFormat="1" ht="15.75" customHeight="1" x14ac:dyDescent="0.25"/>
    <row r="374" s="2" customFormat="1" ht="15.75" customHeight="1" x14ac:dyDescent="0.25"/>
    <row r="375" s="2" customFormat="1" ht="15.75" customHeight="1" x14ac:dyDescent="0.25"/>
    <row r="376" s="2" customFormat="1" ht="15.75" customHeight="1" x14ac:dyDescent="0.25"/>
    <row r="377" s="2" customFormat="1" ht="15.75" customHeight="1" x14ac:dyDescent="0.25"/>
    <row r="378" s="2" customFormat="1" ht="15.75" customHeight="1" x14ac:dyDescent="0.25"/>
    <row r="379" s="2" customFormat="1" ht="15.75" customHeight="1" x14ac:dyDescent="0.25"/>
    <row r="380" s="2" customFormat="1" ht="15.75" customHeight="1" x14ac:dyDescent="0.25"/>
    <row r="381" s="2" customFormat="1" ht="15.75" customHeight="1" x14ac:dyDescent="0.25"/>
    <row r="382" s="2" customFormat="1" ht="15.75" customHeight="1" x14ac:dyDescent="0.25"/>
    <row r="383" s="2" customFormat="1" ht="15.75" customHeight="1" x14ac:dyDescent="0.25"/>
    <row r="384" s="2" customFormat="1" ht="15.75" customHeight="1" x14ac:dyDescent="0.25"/>
    <row r="385" s="2" customFormat="1" ht="15.75" customHeight="1" x14ac:dyDescent="0.25"/>
    <row r="386" s="2" customFormat="1" ht="15.75" customHeight="1" x14ac:dyDescent="0.25"/>
    <row r="387" s="2" customFormat="1" ht="15.75" customHeight="1" x14ac:dyDescent="0.25"/>
    <row r="388" s="2" customFormat="1" ht="15.75" customHeight="1" x14ac:dyDescent="0.25"/>
    <row r="389" s="2" customFormat="1" ht="15.75" customHeight="1" x14ac:dyDescent="0.25"/>
    <row r="390" s="2" customFormat="1" ht="15.75" customHeight="1" x14ac:dyDescent="0.25"/>
    <row r="391" s="2" customFormat="1" ht="15.75" customHeight="1" x14ac:dyDescent="0.25"/>
    <row r="392" s="2" customFormat="1" ht="15.75" customHeight="1" x14ac:dyDescent="0.25"/>
    <row r="393" s="2" customFormat="1" ht="15.75" customHeight="1" x14ac:dyDescent="0.25"/>
    <row r="394" s="2" customFormat="1" ht="15.75" customHeight="1" x14ac:dyDescent="0.25"/>
    <row r="395" s="2" customFormat="1" ht="15.75" customHeight="1" x14ac:dyDescent="0.25"/>
    <row r="396" s="2" customFormat="1" ht="15.75" customHeight="1" x14ac:dyDescent="0.25"/>
    <row r="397" s="2" customFormat="1" ht="15.75" customHeight="1" x14ac:dyDescent="0.25"/>
    <row r="398" s="2" customFormat="1" ht="15.75" customHeight="1" x14ac:dyDescent="0.25"/>
    <row r="399" s="2" customFormat="1" ht="15.75" customHeight="1" x14ac:dyDescent="0.25"/>
    <row r="400" s="2" customFormat="1" ht="15.75" customHeight="1" x14ac:dyDescent="0.25"/>
    <row r="401" s="2" customFormat="1" ht="15.75" customHeight="1" x14ac:dyDescent="0.25"/>
    <row r="402" s="2" customFormat="1" ht="15.75" customHeight="1" x14ac:dyDescent="0.25"/>
    <row r="403" s="2" customFormat="1" ht="15.75" customHeight="1" x14ac:dyDescent="0.25"/>
    <row r="404" s="2" customFormat="1" ht="15.75" customHeight="1" x14ac:dyDescent="0.25"/>
    <row r="405" s="2" customFormat="1" ht="15.75" customHeight="1" x14ac:dyDescent="0.25"/>
    <row r="406" s="2" customFormat="1" ht="15.75" customHeight="1" x14ac:dyDescent="0.25"/>
    <row r="407" s="2" customFormat="1" ht="15.75" customHeight="1" x14ac:dyDescent="0.25"/>
    <row r="408" s="2" customFormat="1" ht="15.75" customHeight="1" x14ac:dyDescent="0.25"/>
    <row r="409" s="2" customFormat="1" ht="15.75" customHeight="1" x14ac:dyDescent="0.25"/>
    <row r="410" s="2" customFormat="1" ht="15.75" customHeight="1" x14ac:dyDescent="0.25"/>
    <row r="411" s="2" customFormat="1" ht="15.75" customHeight="1" x14ac:dyDescent="0.25"/>
    <row r="412" s="2" customFormat="1" ht="15.75" customHeight="1" x14ac:dyDescent="0.25"/>
    <row r="413" s="2" customFormat="1" ht="15.75" customHeight="1" x14ac:dyDescent="0.25"/>
    <row r="414" s="2" customFormat="1" ht="15.75" customHeight="1" x14ac:dyDescent="0.25"/>
    <row r="415" s="2" customFormat="1" ht="15.75" customHeight="1" x14ac:dyDescent="0.25"/>
    <row r="416" s="2" customFormat="1" ht="15.75" customHeight="1" x14ac:dyDescent="0.25"/>
    <row r="417" s="2" customFormat="1" ht="15.75" customHeight="1" x14ac:dyDescent="0.25"/>
    <row r="418" s="2" customFormat="1" ht="15.75" customHeight="1" x14ac:dyDescent="0.25"/>
    <row r="419" s="2" customFormat="1" ht="15.75" customHeight="1" x14ac:dyDescent="0.25"/>
    <row r="420" s="2" customFormat="1" ht="15.75" customHeight="1" x14ac:dyDescent="0.25"/>
    <row r="421" s="2" customFormat="1" ht="15.75" customHeight="1" x14ac:dyDescent="0.25"/>
    <row r="422" s="2" customFormat="1" ht="15.75" customHeight="1" x14ac:dyDescent="0.25"/>
    <row r="423" s="2" customFormat="1" ht="15.75" customHeight="1" x14ac:dyDescent="0.25"/>
    <row r="424" s="2" customFormat="1" ht="15.75" customHeight="1" x14ac:dyDescent="0.25"/>
    <row r="425" s="2" customFormat="1" ht="15.75" customHeight="1" x14ac:dyDescent="0.25"/>
    <row r="426" s="2" customFormat="1" ht="15.75" customHeight="1" x14ac:dyDescent="0.25"/>
    <row r="427" s="2" customFormat="1" ht="15.75" customHeight="1" x14ac:dyDescent="0.25"/>
    <row r="428" s="2" customFormat="1" ht="15.75" customHeight="1" x14ac:dyDescent="0.25"/>
    <row r="429" s="2" customFormat="1" ht="15.75" customHeight="1" x14ac:dyDescent="0.25"/>
    <row r="430" s="2" customFormat="1" ht="15.75" customHeight="1" x14ac:dyDescent="0.25"/>
    <row r="431" s="2" customFormat="1" ht="15.75" customHeight="1" x14ac:dyDescent="0.25"/>
    <row r="432" s="2" customFormat="1" ht="15.75" customHeight="1" x14ac:dyDescent="0.25"/>
    <row r="433" s="2" customFormat="1" ht="15.75" customHeight="1" x14ac:dyDescent="0.25"/>
    <row r="434" s="2" customFormat="1" ht="15.75" customHeight="1" x14ac:dyDescent="0.25"/>
    <row r="435" s="2" customFormat="1" ht="15.75" customHeight="1" x14ac:dyDescent="0.25"/>
    <row r="436" s="2" customFormat="1" ht="15.75" customHeight="1" x14ac:dyDescent="0.25"/>
    <row r="437" s="2" customFormat="1" ht="15.75" customHeight="1" x14ac:dyDescent="0.25"/>
    <row r="438" s="2" customFormat="1" ht="15.75" customHeight="1" x14ac:dyDescent="0.25"/>
    <row r="439" s="2" customFormat="1" ht="15.75" customHeight="1" x14ac:dyDescent="0.25"/>
    <row r="440" s="2" customFormat="1" ht="15.75" customHeight="1" x14ac:dyDescent="0.25"/>
    <row r="441" s="2" customFormat="1" ht="15.75" customHeight="1" x14ac:dyDescent="0.25"/>
    <row r="442" s="2" customFormat="1" ht="15.75" customHeight="1" x14ac:dyDescent="0.25"/>
    <row r="443" s="2" customFormat="1" ht="15.75" customHeight="1" x14ac:dyDescent="0.25"/>
    <row r="444" s="2" customFormat="1" ht="15.75" customHeight="1" x14ac:dyDescent="0.25"/>
    <row r="445" s="2" customFormat="1" ht="15.75" customHeight="1" x14ac:dyDescent="0.25"/>
    <row r="446" s="2" customFormat="1" ht="15.75" customHeight="1" x14ac:dyDescent="0.25"/>
    <row r="447" s="2" customFormat="1" ht="15.75" customHeight="1" x14ac:dyDescent="0.25"/>
    <row r="448" s="2" customFormat="1" ht="15.75" customHeight="1" x14ac:dyDescent="0.25"/>
    <row r="449" s="2" customFormat="1" ht="15.75" customHeight="1" x14ac:dyDescent="0.25"/>
    <row r="450" s="2" customFormat="1" ht="15.75" customHeight="1" x14ac:dyDescent="0.25"/>
    <row r="451" s="2" customFormat="1" ht="15.75" customHeight="1" x14ac:dyDescent="0.25"/>
    <row r="452" s="2" customFormat="1" ht="15.75" customHeight="1" x14ac:dyDescent="0.25"/>
    <row r="453" s="2" customFormat="1" ht="15.75" customHeight="1" x14ac:dyDescent="0.25"/>
    <row r="454" s="2" customFormat="1" ht="15.75" customHeight="1" x14ac:dyDescent="0.25"/>
    <row r="455" s="2" customFormat="1" ht="15.75" customHeight="1" x14ac:dyDescent="0.25"/>
    <row r="456" s="2" customFormat="1" ht="15.75" customHeight="1" x14ac:dyDescent="0.25"/>
    <row r="457" s="2" customFormat="1" ht="15.75" customHeight="1" x14ac:dyDescent="0.25"/>
    <row r="458" s="2" customFormat="1" ht="15.75" customHeight="1" x14ac:dyDescent="0.25"/>
    <row r="459" s="2" customFormat="1" ht="15.75" customHeight="1" x14ac:dyDescent="0.25"/>
    <row r="460" s="2" customFormat="1" ht="15.75" customHeight="1" x14ac:dyDescent="0.25"/>
    <row r="461" s="2" customFormat="1" ht="15.75" customHeight="1" x14ac:dyDescent="0.25"/>
    <row r="462" s="2" customFormat="1" ht="15.75" customHeight="1" x14ac:dyDescent="0.25"/>
    <row r="463" s="2" customFormat="1" ht="15.75" customHeight="1" x14ac:dyDescent="0.25"/>
    <row r="464" s="2" customFormat="1" ht="15.75" customHeight="1" x14ac:dyDescent="0.25"/>
    <row r="465" s="2" customFormat="1" ht="15.75" customHeight="1" x14ac:dyDescent="0.25"/>
    <row r="466" s="2" customFormat="1" ht="15.75" customHeight="1" x14ac:dyDescent="0.25"/>
    <row r="467" s="2" customFormat="1" ht="15.75" customHeight="1" x14ac:dyDescent="0.25"/>
    <row r="468" s="2" customFormat="1" ht="15.75" customHeight="1" x14ac:dyDescent="0.25"/>
    <row r="469" s="2" customFormat="1" ht="15.75" customHeight="1" x14ac:dyDescent="0.25"/>
    <row r="470" s="2" customFormat="1" ht="15.75" customHeight="1" x14ac:dyDescent="0.25"/>
    <row r="471" s="2" customFormat="1" ht="15.75" customHeight="1" x14ac:dyDescent="0.25"/>
    <row r="472" s="2" customFormat="1" ht="15.75" customHeight="1" x14ac:dyDescent="0.25"/>
    <row r="473" s="2" customFormat="1" ht="15.75" customHeight="1" x14ac:dyDescent="0.25"/>
    <row r="474" s="2" customFormat="1" ht="15.75" customHeight="1" x14ac:dyDescent="0.25"/>
    <row r="475" s="2" customFormat="1" ht="15.75" customHeight="1" x14ac:dyDescent="0.25"/>
    <row r="476" s="2" customFormat="1" ht="15.75" customHeight="1" x14ac:dyDescent="0.25"/>
    <row r="477" s="2" customFormat="1" ht="15.75" customHeight="1" x14ac:dyDescent="0.25"/>
    <row r="478" s="2" customFormat="1" ht="15.75" customHeight="1" x14ac:dyDescent="0.25"/>
    <row r="479" s="2" customFormat="1" ht="15.75" customHeight="1" x14ac:dyDescent="0.25"/>
    <row r="480" s="2" customFormat="1" ht="15.75" customHeight="1" x14ac:dyDescent="0.25"/>
    <row r="481" s="2" customFormat="1" ht="15.75" customHeight="1" x14ac:dyDescent="0.25"/>
    <row r="482" s="2" customFormat="1" ht="15.75" customHeight="1" x14ac:dyDescent="0.25"/>
    <row r="483" s="2" customFormat="1" ht="15.75" customHeight="1" x14ac:dyDescent="0.25"/>
    <row r="484" s="2" customFormat="1" ht="15.75" customHeight="1" x14ac:dyDescent="0.25"/>
    <row r="485" s="2" customFormat="1" ht="15.75" customHeight="1" x14ac:dyDescent="0.25"/>
    <row r="486" s="2" customFormat="1" ht="15.75" customHeight="1" x14ac:dyDescent="0.25"/>
    <row r="487" s="2" customFormat="1" ht="15.75" customHeight="1" x14ac:dyDescent="0.25"/>
    <row r="488" s="2" customFormat="1" ht="15.75" customHeight="1" x14ac:dyDescent="0.25"/>
    <row r="489" s="2" customFormat="1" ht="15.75" customHeight="1" x14ac:dyDescent="0.25"/>
    <row r="490" s="2" customFormat="1" ht="15.75" customHeight="1" x14ac:dyDescent="0.25"/>
    <row r="491" s="2" customFormat="1" ht="15.75" customHeight="1" x14ac:dyDescent="0.25"/>
    <row r="492" s="2" customFormat="1" ht="15.75" customHeight="1" x14ac:dyDescent="0.25"/>
    <row r="493" s="2" customFormat="1" ht="15.75" customHeight="1" x14ac:dyDescent="0.25"/>
    <row r="494" s="2" customFormat="1" ht="15.75" customHeight="1" x14ac:dyDescent="0.25"/>
    <row r="495" s="2" customFormat="1" ht="15.75" customHeight="1" x14ac:dyDescent="0.25"/>
    <row r="496" s="2" customFormat="1" ht="15.75" customHeight="1" x14ac:dyDescent="0.25"/>
    <row r="497" s="2" customFormat="1" ht="15.75" customHeight="1" x14ac:dyDescent="0.25"/>
    <row r="498" s="2" customFormat="1" ht="15.75" customHeight="1" x14ac:dyDescent="0.25"/>
    <row r="499" s="2" customFormat="1" ht="15.75" customHeight="1" x14ac:dyDescent="0.25"/>
    <row r="500" s="2" customFormat="1" ht="15.75" customHeight="1" x14ac:dyDescent="0.25"/>
    <row r="501" s="2" customFormat="1" ht="15.75" customHeight="1" x14ac:dyDescent="0.25"/>
    <row r="502" s="2" customFormat="1" ht="15.75" customHeight="1" x14ac:dyDescent="0.25"/>
    <row r="503" s="2" customFormat="1" ht="15.75" customHeight="1" x14ac:dyDescent="0.25"/>
    <row r="504" s="2" customFormat="1" ht="15.75" customHeight="1" x14ac:dyDescent="0.25"/>
    <row r="505" s="2" customFormat="1" ht="15.75" customHeight="1" x14ac:dyDescent="0.25"/>
    <row r="506" s="2" customFormat="1" ht="15.75" customHeight="1" x14ac:dyDescent="0.25"/>
    <row r="507" s="2" customFormat="1" ht="15.75" customHeight="1" x14ac:dyDescent="0.25"/>
    <row r="508" s="2" customFormat="1" ht="15.75" customHeight="1" x14ac:dyDescent="0.25"/>
    <row r="509" s="2" customFormat="1" ht="15.75" customHeight="1" x14ac:dyDescent="0.25"/>
    <row r="510" s="2" customFormat="1" ht="15.75" customHeight="1" x14ac:dyDescent="0.25"/>
    <row r="511" s="2" customFormat="1" ht="15.75" customHeight="1" x14ac:dyDescent="0.25"/>
    <row r="512" s="2" customFormat="1" ht="15.75" customHeight="1" x14ac:dyDescent="0.25"/>
    <row r="513" s="2" customFormat="1" ht="15.75" customHeight="1" x14ac:dyDescent="0.25"/>
    <row r="514" s="2" customFormat="1" ht="15.75" customHeight="1" x14ac:dyDescent="0.25"/>
    <row r="515" s="2" customFormat="1" ht="15.75" customHeight="1" x14ac:dyDescent="0.25"/>
    <row r="516" s="2" customFormat="1" ht="15.75" customHeight="1" x14ac:dyDescent="0.25"/>
    <row r="517" s="2" customFormat="1" ht="15.75" customHeight="1" x14ac:dyDescent="0.25"/>
    <row r="518" s="2" customFormat="1" ht="15.75" customHeight="1" x14ac:dyDescent="0.25"/>
    <row r="519" s="2" customFormat="1" ht="15.75" customHeight="1" x14ac:dyDescent="0.25"/>
    <row r="520" s="2" customFormat="1" ht="15.75" customHeight="1" x14ac:dyDescent="0.25"/>
    <row r="521" s="2" customFormat="1" ht="15.75" customHeight="1" x14ac:dyDescent="0.25"/>
    <row r="522" s="2" customFormat="1" ht="15.75" customHeight="1" x14ac:dyDescent="0.25"/>
    <row r="523" s="2" customFormat="1" ht="15.75" customHeight="1" x14ac:dyDescent="0.25"/>
    <row r="524" s="2" customFormat="1" ht="15.75" customHeight="1" x14ac:dyDescent="0.25"/>
    <row r="525" s="2" customFormat="1" ht="15.75" customHeight="1" x14ac:dyDescent="0.25"/>
    <row r="526" s="2" customFormat="1" ht="15.75" customHeight="1" x14ac:dyDescent="0.25"/>
    <row r="527" s="2" customFormat="1" ht="15.75" customHeight="1" x14ac:dyDescent="0.25"/>
    <row r="528" s="2" customFormat="1" ht="15.75" customHeight="1" x14ac:dyDescent="0.25"/>
    <row r="529" s="2" customFormat="1" ht="15.75" customHeight="1" x14ac:dyDescent="0.25"/>
    <row r="530" s="2" customFormat="1" ht="15.75" customHeight="1" x14ac:dyDescent="0.25"/>
    <row r="531" s="2" customFormat="1" ht="15.75" customHeight="1" x14ac:dyDescent="0.25"/>
    <row r="532" s="2" customFormat="1" ht="15.75" customHeight="1" x14ac:dyDescent="0.25"/>
    <row r="533" s="2" customFormat="1" ht="15.75" customHeight="1" x14ac:dyDescent="0.25"/>
    <row r="534" s="2" customFormat="1" ht="15.75" customHeight="1" x14ac:dyDescent="0.25"/>
    <row r="535" s="2" customFormat="1" ht="15.75" customHeight="1" x14ac:dyDescent="0.25"/>
    <row r="536" s="2" customFormat="1" ht="15.75" customHeight="1" x14ac:dyDescent="0.25"/>
    <row r="537" s="2" customFormat="1" ht="15.75" customHeight="1" x14ac:dyDescent="0.25"/>
    <row r="538" s="2" customFormat="1" ht="15.75" customHeight="1" x14ac:dyDescent="0.25"/>
    <row r="539" s="2" customFormat="1" ht="15.75" customHeight="1" x14ac:dyDescent="0.25"/>
    <row r="540" s="2" customFormat="1" ht="15.75" customHeight="1" x14ac:dyDescent="0.25"/>
    <row r="541" s="2" customFormat="1" ht="15.75" customHeight="1" x14ac:dyDescent="0.25"/>
    <row r="542" s="2" customFormat="1" ht="15.75" customHeight="1" x14ac:dyDescent="0.25"/>
    <row r="543" s="2" customFormat="1" ht="15.75" customHeight="1" x14ac:dyDescent="0.25"/>
    <row r="544" s="2" customFormat="1" ht="15.75" customHeight="1" x14ac:dyDescent="0.25"/>
    <row r="545" s="2" customFormat="1" ht="15.75" customHeight="1" x14ac:dyDescent="0.25"/>
    <row r="546" s="2" customFormat="1" ht="15.75" customHeight="1" x14ac:dyDescent="0.25"/>
    <row r="547" s="2" customFormat="1" ht="15.75" customHeight="1" x14ac:dyDescent="0.25"/>
    <row r="548" s="2" customFormat="1" ht="15.75" customHeight="1" x14ac:dyDescent="0.25"/>
    <row r="549" s="2" customFormat="1" ht="15.75" customHeight="1" x14ac:dyDescent="0.25"/>
    <row r="550" s="2" customFormat="1" ht="15.75" customHeight="1" x14ac:dyDescent="0.25"/>
    <row r="551" s="2" customFormat="1" ht="15.75" customHeight="1" x14ac:dyDescent="0.25"/>
    <row r="552" s="2" customFormat="1" ht="15.75" customHeight="1" x14ac:dyDescent="0.25"/>
    <row r="553" s="2" customFormat="1" ht="15.75" customHeight="1" x14ac:dyDescent="0.25"/>
    <row r="554" s="2" customFormat="1" ht="15.75" customHeight="1" x14ac:dyDescent="0.25"/>
    <row r="555" s="2" customFormat="1" ht="15.75" customHeight="1" x14ac:dyDescent="0.25"/>
    <row r="556" s="2" customFormat="1" ht="15.75" customHeight="1" x14ac:dyDescent="0.25"/>
    <row r="557" s="2" customFormat="1" ht="15.75" customHeight="1" x14ac:dyDescent="0.25"/>
    <row r="558" s="2" customFormat="1" ht="15.75" customHeight="1" x14ac:dyDescent="0.25"/>
    <row r="559" s="2" customFormat="1" ht="15.75" customHeight="1" x14ac:dyDescent="0.25"/>
    <row r="560" s="2" customFormat="1" ht="15.75" customHeight="1" x14ac:dyDescent="0.25"/>
    <row r="561" s="2" customFormat="1" ht="15.75" customHeight="1" x14ac:dyDescent="0.25"/>
    <row r="562" s="2" customFormat="1" ht="15.75" customHeight="1" x14ac:dyDescent="0.25"/>
    <row r="563" s="2" customFormat="1" ht="15.75" customHeight="1" x14ac:dyDescent="0.25"/>
    <row r="564" s="2" customFormat="1" ht="15.75" customHeight="1" x14ac:dyDescent="0.25"/>
    <row r="565" s="2" customFormat="1" ht="15.75" customHeight="1" x14ac:dyDescent="0.25"/>
    <row r="566" s="2" customFormat="1" ht="15.75" customHeight="1" x14ac:dyDescent="0.25"/>
    <row r="567" s="2" customFormat="1" ht="15.75" customHeight="1" x14ac:dyDescent="0.25"/>
    <row r="568" s="2" customFormat="1" ht="15.75" customHeight="1" x14ac:dyDescent="0.25"/>
    <row r="569" s="2" customFormat="1" ht="15.75" customHeight="1" x14ac:dyDescent="0.25"/>
    <row r="570" s="2" customFormat="1" ht="15.75" customHeight="1" x14ac:dyDescent="0.25"/>
    <row r="571" s="2" customFormat="1" ht="15.75" customHeight="1" x14ac:dyDescent="0.25"/>
    <row r="572" s="2" customFormat="1" ht="15.75" customHeight="1" x14ac:dyDescent="0.25"/>
    <row r="573" s="2" customFormat="1" ht="15.75" customHeight="1" x14ac:dyDescent="0.25"/>
    <row r="574" s="2" customFormat="1" ht="15.75" customHeight="1" x14ac:dyDescent="0.25"/>
    <row r="575" s="2" customFormat="1" ht="15.75" customHeight="1" x14ac:dyDescent="0.25"/>
    <row r="576" s="2" customFormat="1" ht="15.75" customHeight="1" x14ac:dyDescent="0.25"/>
    <row r="577" s="2" customFormat="1" ht="15.75" customHeight="1" x14ac:dyDescent="0.25"/>
    <row r="578" s="2" customFormat="1" ht="15.75" customHeight="1" x14ac:dyDescent="0.25"/>
    <row r="579" s="2" customFormat="1" ht="15.75" customHeight="1" x14ac:dyDescent="0.25"/>
    <row r="580" s="2" customFormat="1" ht="15.75" customHeight="1" x14ac:dyDescent="0.25"/>
    <row r="581" s="2" customFormat="1" ht="15.75" customHeight="1" x14ac:dyDescent="0.25"/>
    <row r="582" s="2" customFormat="1" ht="15.75" customHeight="1" x14ac:dyDescent="0.25"/>
    <row r="583" s="2" customFormat="1" ht="15.75" customHeight="1" x14ac:dyDescent="0.25"/>
    <row r="584" s="2" customFormat="1" ht="15.75" customHeight="1" x14ac:dyDescent="0.25"/>
    <row r="585" s="2" customFormat="1" ht="15.75" customHeight="1" x14ac:dyDescent="0.25"/>
    <row r="586" s="2" customFormat="1" ht="15.75" customHeight="1" x14ac:dyDescent="0.25"/>
    <row r="587" s="2" customFormat="1" ht="15.75" customHeight="1" x14ac:dyDescent="0.25"/>
    <row r="588" s="2" customFormat="1" ht="15.75" customHeight="1" x14ac:dyDescent="0.25"/>
    <row r="589" s="2" customFormat="1" ht="15.75" customHeight="1" x14ac:dyDescent="0.25"/>
    <row r="590" s="2" customFormat="1" ht="15.75" customHeight="1" x14ac:dyDescent="0.25"/>
    <row r="591" s="2" customFormat="1" ht="15.75" customHeight="1" x14ac:dyDescent="0.25"/>
    <row r="592" s="2" customFormat="1" ht="15.75" customHeight="1" x14ac:dyDescent="0.25"/>
    <row r="593" s="2" customFormat="1" ht="15.75" customHeight="1" x14ac:dyDescent="0.25"/>
    <row r="594" s="2" customFormat="1" ht="15.75" customHeight="1" x14ac:dyDescent="0.25"/>
    <row r="595" s="2" customFormat="1" ht="15.75" customHeight="1" x14ac:dyDescent="0.25"/>
    <row r="596" s="2" customFormat="1" ht="15.75" customHeight="1" x14ac:dyDescent="0.25"/>
    <row r="597" s="2" customFormat="1" ht="15.75" customHeight="1" x14ac:dyDescent="0.25"/>
    <row r="598" s="2" customFormat="1" ht="15.75" customHeight="1" x14ac:dyDescent="0.25"/>
    <row r="599" s="2" customFormat="1" ht="15.75" customHeight="1" x14ac:dyDescent="0.25"/>
    <row r="600" s="2" customFormat="1" ht="15.75" customHeight="1" x14ac:dyDescent="0.25"/>
    <row r="601" s="2" customFormat="1" ht="15.75" customHeight="1" x14ac:dyDescent="0.25"/>
    <row r="602" s="2" customFormat="1" ht="15.75" customHeight="1" x14ac:dyDescent="0.25"/>
    <row r="603" s="2" customFormat="1" ht="15.75" customHeight="1" x14ac:dyDescent="0.25"/>
    <row r="604" s="2" customFormat="1" ht="15.75" customHeight="1" x14ac:dyDescent="0.25"/>
    <row r="605" s="2" customFormat="1" ht="15.75" customHeight="1" x14ac:dyDescent="0.25"/>
    <row r="606" s="2" customFormat="1" ht="15.75" customHeight="1" x14ac:dyDescent="0.25"/>
    <row r="607" s="2" customFormat="1" ht="15.75" customHeight="1" x14ac:dyDescent="0.25"/>
    <row r="608" s="2" customFormat="1" ht="15.75" customHeight="1" x14ac:dyDescent="0.25"/>
    <row r="609" s="2" customFormat="1" ht="15.75" customHeight="1" x14ac:dyDescent="0.25"/>
    <row r="610" s="2" customFormat="1" ht="15.75" customHeight="1" x14ac:dyDescent="0.25"/>
    <row r="611" s="2" customFormat="1" ht="15.75" customHeight="1" x14ac:dyDescent="0.25"/>
    <row r="612" s="2" customFormat="1" ht="15.75" customHeight="1" x14ac:dyDescent="0.25"/>
    <row r="613" s="2" customFormat="1" ht="15.75" customHeight="1" x14ac:dyDescent="0.25"/>
    <row r="614" s="2" customFormat="1" ht="15.75" customHeight="1" x14ac:dyDescent="0.25"/>
    <row r="615" s="2" customFormat="1" ht="15.75" customHeight="1" x14ac:dyDescent="0.25"/>
    <row r="616" s="2" customFormat="1" ht="15.75" customHeight="1" x14ac:dyDescent="0.25"/>
    <row r="617" s="2" customFormat="1" ht="15.75" customHeight="1" x14ac:dyDescent="0.25"/>
    <row r="618" s="2" customFormat="1" ht="15.75" customHeight="1" x14ac:dyDescent="0.25"/>
    <row r="619" s="2" customFormat="1" ht="15.75" customHeight="1" x14ac:dyDescent="0.25"/>
    <row r="620" s="2" customFormat="1" ht="15.75" customHeight="1" x14ac:dyDescent="0.25"/>
    <row r="621" s="2" customFormat="1" ht="15.75" customHeight="1" x14ac:dyDescent="0.25"/>
    <row r="622" s="2" customFormat="1" ht="15.75" customHeight="1" x14ac:dyDescent="0.25"/>
    <row r="623" s="2" customFormat="1" ht="15.75" customHeight="1" x14ac:dyDescent="0.25"/>
    <row r="624" s="2" customFormat="1" ht="15.75" customHeight="1" x14ac:dyDescent="0.25"/>
    <row r="625" s="2" customFormat="1" ht="15.75" customHeight="1" x14ac:dyDescent="0.25"/>
    <row r="626" s="2" customFormat="1" ht="15.75" customHeight="1" x14ac:dyDescent="0.25"/>
    <row r="627" s="2" customFormat="1" ht="15.75" customHeight="1" x14ac:dyDescent="0.25"/>
    <row r="628" s="2" customFormat="1" ht="15.75" customHeight="1" x14ac:dyDescent="0.25"/>
    <row r="629" s="2" customFormat="1" ht="15.75" customHeight="1" x14ac:dyDescent="0.25"/>
    <row r="630" s="2" customFormat="1" ht="15.75" customHeight="1" x14ac:dyDescent="0.25"/>
    <row r="631" s="2" customFormat="1" ht="15.75" customHeight="1" x14ac:dyDescent="0.25"/>
    <row r="632" s="2" customFormat="1" ht="15.75" customHeight="1" x14ac:dyDescent="0.25"/>
    <row r="633" s="2" customFormat="1" ht="15.75" customHeight="1" x14ac:dyDescent="0.25"/>
    <row r="634" s="2" customFormat="1" ht="15.75" customHeight="1" x14ac:dyDescent="0.25"/>
    <row r="635" s="2" customFormat="1" ht="15.75" customHeight="1" x14ac:dyDescent="0.25"/>
    <row r="636" s="2" customFormat="1" ht="15.75" customHeight="1" x14ac:dyDescent="0.25"/>
    <row r="637" s="2" customFormat="1" ht="15.75" customHeight="1" x14ac:dyDescent="0.25"/>
    <row r="638" s="2" customFormat="1" ht="15.75" customHeight="1" x14ac:dyDescent="0.25"/>
    <row r="639" s="2" customFormat="1" ht="15.75" customHeight="1" x14ac:dyDescent="0.25"/>
    <row r="640" s="2" customFormat="1" ht="15.75" customHeight="1" x14ac:dyDescent="0.25"/>
    <row r="641" s="2" customFormat="1" ht="15.75" customHeight="1" x14ac:dyDescent="0.25"/>
    <row r="642" s="2" customFormat="1" ht="15.75" customHeight="1" x14ac:dyDescent="0.25"/>
    <row r="643" s="2" customFormat="1" ht="15.75" customHeight="1" x14ac:dyDescent="0.25"/>
    <row r="644" s="2" customFormat="1" ht="15.75" customHeight="1" x14ac:dyDescent="0.25"/>
    <row r="645" s="2" customFormat="1" ht="15.75" customHeight="1" x14ac:dyDescent="0.25"/>
    <row r="646" s="2" customFormat="1" ht="15.75" customHeight="1" x14ac:dyDescent="0.25"/>
    <row r="647" s="2" customFormat="1" ht="15.75" customHeight="1" x14ac:dyDescent="0.25"/>
    <row r="648" s="2" customFormat="1" ht="15.75" customHeight="1" x14ac:dyDescent="0.25"/>
    <row r="649" s="2" customFormat="1" ht="15.75" customHeight="1" x14ac:dyDescent="0.25"/>
    <row r="650" s="2" customFormat="1" ht="15.75" customHeight="1" x14ac:dyDescent="0.25"/>
    <row r="651" s="2" customFormat="1" ht="15.75" customHeight="1" x14ac:dyDescent="0.25"/>
    <row r="652" s="2" customFormat="1" ht="15.75" customHeight="1" x14ac:dyDescent="0.25"/>
    <row r="653" s="2" customFormat="1" ht="15.75" customHeight="1" x14ac:dyDescent="0.25"/>
    <row r="654" s="2" customFormat="1" ht="15.75" customHeight="1" x14ac:dyDescent="0.25"/>
    <row r="655" s="2" customFormat="1" ht="15.75" customHeight="1" x14ac:dyDescent="0.25"/>
    <row r="656" s="2" customFormat="1" ht="15.75" customHeight="1" x14ac:dyDescent="0.25"/>
    <row r="657" s="2" customFormat="1" ht="15.75" customHeight="1" x14ac:dyDescent="0.25"/>
    <row r="658" s="2" customFormat="1" ht="15.75" customHeight="1" x14ac:dyDescent="0.25"/>
    <row r="659" s="2" customFormat="1" ht="15.75" customHeight="1" x14ac:dyDescent="0.25"/>
    <row r="660" s="2" customFormat="1" ht="15.75" customHeight="1" x14ac:dyDescent="0.25"/>
    <row r="661" s="2" customFormat="1" ht="15.75" customHeight="1" x14ac:dyDescent="0.25"/>
    <row r="662" s="2" customFormat="1" ht="15.75" customHeight="1" x14ac:dyDescent="0.25"/>
    <row r="663" s="2" customFormat="1" ht="15.75" customHeight="1" x14ac:dyDescent="0.25"/>
    <row r="664" s="2" customFormat="1" ht="15.75" customHeight="1" x14ac:dyDescent="0.25"/>
    <row r="665" s="2" customFormat="1" ht="15.75" customHeight="1" x14ac:dyDescent="0.25"/>
    <row r="666" s="2" customFormat="1" ht="15.75" customHeight="1" x14ac:dyDescent="0.25"/>
    <row r="667" s="2" customFormat="1" ht="15.75" customHeight="1" x14ac:dyDescent="0.25"/>
    <row r="668" s="2" customFormat="1" ht="15.75" customHeight="1" x14ac:dyDescent="0.25"/>
    <row r="669" s="2" customFormat="1" ht="15.75" customHeight="1" x14ac:dyDescent="0.25"/>
    <row r="670" s="2" customFormat="1" ht="15.75" customHeight="1" x14ac:dyDescent="0.25"/>
    <row r="671" s="2" customFormat="1" ht="15.75" customHeight="1" x14ac:dyDescent="0.25"/>
    <row r="672" s="2" customFormat="1" ht="15.75" customHeight="1" x14ac:dyDescent="0.25"/>
    <row r="673" s="2" customFormat="1" ht="15.75" customHeight="1" x14ac:dyDescent="0.25"/>
    <row r="674" s="2" customFormat="1" ht="15.75" customHeight="1" x14ac:dyDescent="0.25"/>
    <row r="675" s="2" customFormat="1" ht="15.75" customHeight="1" x14ac:dyDescent="0.25"/>
    <row r="676" s="2" customFormat="1" ht="15.75" customHeight="1" x14ac:dyDescent="0.25"/>
    <row r="677" s="2" customFormat="1" ht="15.75" customHeight="1" x14ac:dyDescent="0.25"/>
    <row r="678" s="2" customFormat="1" ht="15.75" customHeight="1" x14ac:dyDescent="0.25"/>
    <row r="679" s="2" customFormat="1" ht="15.75" customHeight="1" x14ac:dyDescent="0.25"/>
    <row r="680" s="2" customFormat="1" ht="15.75" customHeight="1" x14ac:dyDescent="0.25"/>
    <row r="681" s="2" customFormat="1" ht="15.75" customHeight="1" x14ac:dyDescent="0.25"/>
    <row r="682" s="2" customFormat="1" ht="15.75" customHeight="1" x14ac:dyDescent="0.25"/>
    <row r="683" s="2" customFormat="1" ht="15.75" customHeight="1" x14ac:dyDescent="0.25"/>
    <row r="684" s="2" customFormat="1" ht="15.75" customHeight="1" x14ac:dyDescent="0.25"/>
    <row r="685" s="2" customFormat="1" ht="15.75" customHeight="1" x14ac:dyDescent="0.25"/>
    <row r="686" s="2" customFormat="1" ht="15.75" customHeight="1" x14ac:dyDescent="0.25"/>
    <row r="687" s="2" customFormat="1" ht="15.75" customHeight="1" x14ac:dyDescent="0.25"/>
    <row r="688" s="2" customFormat="1" ht="15.75" customHeight="1" x14ac:dyDescent="0.25"/>
    <row r="689" s="2" customFormat="1" ht="15.75" customHeight="1" x14ac:dyDescent="0.25"/>
    <row r="690" s="2" customFormat="1" ht="15.75" customHeight="1" x14ac:dyDescent="0.25"/>
    <row r="691" s="2" customFormat="1" ht="15.75" customHeight="1" x14ac:dyDescent="0.25"/>
    <row r="692" s="2" customFormat="1" ht="15.75" customHeight="1" x14ac:dyDescent="0.25"/>
    <row r="693" s="2" customFormat="1" ht="15.75" customHeight="1" x14ac:dyDescent="0.25"/>
    <row r="694" s="2" customFormat="1" ht="15.75" customHeight="1" x14ac:dyDescent="0.25"/>
    <row r="695" s="2" customFormat="1" ht="15.75" customHeight="1" x14ac:dyDescent="0.25"/>
    <row r="696" s="2" customFormat="1" ht="15.75" customHeight="1" x14ac:dyDescent="0.25"/>
    <row r="697" s="2" customFormat="1" ht="15.75" customHeight="1" x14ac:dyDescent="0.25"/>
    <row r="698" s="2" customFormat="1" ht="15.75" customHeight="1" x14ac:dyDescent="0.25"/>
    <row r="699" s="2" customFormat="1" ht="15.75" customHeight="1" x14ac:dyDescent="0.25"/>
    <row r="700" s="2" customFormat="1" ht="15.75" customHeight="1" x14ac:dyDescent="0.25"/>
    <row r="701" s="2" customFormat="1" ht="15.75" customHeight="1" x14ac:dyDescent="0.25"/>
    <row r="702" s="2" customFormat="1" ht="15.75" customHeight="1" x14ac:dyDescent="0.25"/>
    <row r="703" s="2" customFormat="1" ht="15.75" customHeight="1" x14ac:dyDescent="0.25"/>
    <row r="704" s="2" customFormat="1" ht="15.75" customHeight="1" x14ac:dyDescent="0.25"/>
    <row r="705" s="2" customFormat="1" ht="15.75" customHeight="1" x14ac:dyDescent="0.25"/>
    <row r="706" s="2" customFormat="1" ht="15.75" customHeight="1" x14ac:dyDescent="0.25"/>
    <row r="707" s="2" customFormat="1" ht="15.75" customHeight="1" x14ac:dyDescent="0.25"/>
    <row r="708" s="2" customFormat="1" ht="15.75" customHeight="1" x14ac:dyDescent="0.25"/>
    <row r="709" s="2" customFormat="1" ht="15.75" customHeight="1" x14ac:dyDescent="0.25"/>
    <row r="710" s="2" customFormat="1" ht="15.75" customHeight="1" x14ac:dyDescent="0.25"/>
    <row r="711" s="2" customFormat="1" ht="15.75" customHeight="1" x14ac:dyDescent="0.25"/>
    <row r="712" s="2" customFormat="1" ht="15.75" customHeight="1" x14ac:dyDescent="0.25"/>
    <row r="713" s="2" customFormat="1" ht="15.75" customHeight="1" x14ac:dyDescent="0.25"/>
    <row r="714" s="2" customFormat="1" ht="15.75" customHeight="1" x14ac:dyDescent="0.25"/>
    <row r="715" s="2" customFormat="1" ht="15.75" customHeight="1" x14ac:dyDescent="0.25"/>
    <row r="716" s="2" customFormat="1" ht="15.75" customHeight="1" x14ac:dyDescent="0.25"/>
    <row r="717" s="2" customFormat="1" ht="15.75" customHeight="1" x14ac:dyDescent="0.25"/>
    <row r="718" s="2" customFormat="1" ht="15.75" customHeight="1" x14ac:dyDescent="0.25"/>
    <row r="719" s="2" customFormat="1" ht="15.75" customHeight="1" x14ac:dyDescent="0.25"/>
    <row r="720" s="2" customFormat="1" ht="15.75" customHeight="1" x14ac:dyDescent="0.25"/>
    <row r="721" s="2" customFormat="1" ht="15.75" customHeight="1" x14ac:dyDescent="0.25"/>
    <row r="722" s="2" customFormat="1" ht="15.75" customHeight="1" x14ac:dyDescent="0.25"/>
    <row r="723" s="2" customFormat="1" ht="15.75" customHeight="1" x14ac:dyDescent="0.25"/>
    <row r="724" s="2" customFormat="1" ht="15.75" customHeight="1" x14ac:dyDescent="0.25"/>
    <row r="725" s="2" customFormat="1" ht="15.75" customHeight="1" x14ac:dyDescent="0.25"/>
    <row r="726" s="2" customFormat="1" ht="15.75" customHeight="1" x14ac:dyDescent="0.25"/>
    <row r="727" s="2" customFormat="1" ht="15.75" customHeight="1" x14ac:dyDescent="0.25"/>
    <row r="728" s="2" customFormat="1" ht="15.75" customHeight="1" x14ac:dyDescent="0.25"/>
    <row r="729" s="2" customFormat="1" ht="15.75" customHeight="1" x14ac:dyDescent="0.25"/>
    <row r="730" s="2" customFormat="1" ht="15.75" customHeight="1" x14ac:dyDescent="0.25"/>
    <row r="731" s="2" customFormat="1" ht="15.75" customHeight="1" x14ac:dyDescent="0.25"/>
    <row r="732" s="2" customFormat="1" ht="15.75" customHeight="1" x14ac:dyDescent="0.25"/>
    <row r="733" s="2" customFormat="1" ht="15.75" customHeight="1" x14ac:dyDescent="0.25"/>
    <row r="734" s="2" customFormat="1" ht="15.75" customHeight="1" x14ac:dyDescent="0.25"/>
    <row r="735" s="2" customFormat="1" ht="15.75" customHeight="1" x14ac:dyDescent="0.25"/>
    <row r="736" s="2" customFormat="1" ht="15.75" customHeight="1" x14ac:dyDescent="0.25"/>
    <row r="737" s="2" customFormat="1" ht="15.75" customHeight="1" x14ac:dyDescent="0.25"/>
    <row r="738" s="2" customFormat="1" ht="15.75" customHeight="1" x14ac:dyDescent="0.25"/>
    <row r="739" s="2" customFormat="1" ht="15.75" customHeight="1" x14ac:dyDescent="0.25"/>
    <row r="740" s="2" customFormat="1" ht="15.75" customHeight="1" x14ac:dyDescent="0.25"/>
    <row r="741" s="2" customFormat="1" ht="15.75" customHeight="1" x14ac:dyDescent="0.25"/>
    <row r="742" s="2" customFormat="1" ht="15.75" customHeight="1" x14ac:dyDescent="0.25"/>
    <row r="743" s="2" customFormat="1" ht="15.75" customHeight="1" x14ac:dyDescent="0.25"/>
    <row r="744" s="2" customFormat="1" ht="15.75" customHeight="1" x14ac:dyDescent="0.25"/>
    <row r="745" s="2" customFormat="1" ht="15.75" customHeight="1" x14ac:dyDescent="0.25"/>
    <row r="746" s="2" customFormat="1" ht="15.75" customHeight="1" x14ac:dyDescent="0.25"/>
    <row r="747" s="2" customFormat="1" ht="15.75" customHeight="1" x14ac:dyDescent="0.25"/>
    <row r="748" s="2" customFormat="1" ht="15.75" customHeight="1" x14ac:dyDescent="0.25"/>
    <row r="749" s="2" customFormat="1" ht="15.75" customHeight="1" x14ac:dyDescent="0.25"/>
    <row r="750" s="2" customFormat="1" ht="15.75" customHeight="1" x14ac:dyDescent="0.25"/>
    <row r="751" s="2" customFormat="1" ht="15.75" customHeight="1" x14ac:dyDescent="0.25"/>
    <row r="752" s="2" customFormat="1" ht="15.75" customHeight="1" x14ac:dyDescent="0.25"/>
    <row r="753" s="2" customFormat="1" ht="15.75" customHeight="1" x14ac:dyDescent="0.25"/>
    <row r="754" s="2" customFormat="1" ht="15.75" customHeight="1" x14ac:dyDescent="0.25"/>
    <row r="755" s="2" customFormat="1" ht="15.75" customHeight="1" x14ac:dyDescent="0.25"/>
    <row r="756" s="2" customFormat="1" ht="15.75" customHeight="1" x14ac:dyDescent="0.25"/>
    <row r="757" s="2" customFormat="1" ht="15.75" customHeight="1" x14ac:dyDescent="0.25"/>
    <row r="758" s="2" customFormat="1" ht="15.75" customHeight="1" x14ac:dyDescent="0.25"/>
    <row r="759" s="2" customFormat="1" ht="15.75" customHeight="1" x14ac:dyDescent="0.25"/>
    <row r="760" s="2" customFormat="1" ht="15.75" customHeight="1" x14ac:dyDescent="0.25"/>
    <row r="761" s="2" customFormat="1" ht="15.75" customHeight="1" x14ac:dyDescent="0.25"/>
    <row r="762" s="2" customFormat="1" ht="15.75" customHeight="1" x14ac:dyDescent="0.25"/>
    <row r="763" s="2" customFormat="1" ht="15.75" customHeight="1" x14ac:dyDescent="0.25"/>
    <row r="764" s="2" customFormat="1" ht="15.75" customHeight="1" x14ac:dyDescent="0.25"/>
    <row r="765" s="2" customFormat="1" ht="15.75" customHeight="1" x14ac:dyDescent="0.25"/>
    <row r="766" s="2" customFormat="1" ht="15.75" customHeight="1" x14ac:dyDescent="0.25"/>
    <row r="767" s="2" customFormat="1" ht="15.75" customHeight="1" x14ac:dyDescent="0.25"/>
    <row r="768" s="2" customFormat="1" ht="15.75" customHeight="1" x14ac:dyDescent="0.25"/>
    <row r="769" s="2" customFormat="1" ht="15.75" customHeight="1" x14ac:dyDescent="0.25"/>
    <row r="770" s="2" customFormat="1" ht="15.75" customHeight="1" x14ac:dyDescent="0.25"/>
    <row r="771" s="2" customFormat="1" ht="15.75" customHeight="1" x14ac:dyDescent="0.25"/>
    <row r="772" s="2" customFormat="1" ht="15.75" customHeight="1" x14ac:dyDescent="0.25"/>
    <row r="773" s="2" customFormat="1" ht="15.75" customHeight="1" x14ac:dyDescent="0.25"/>
    <row r="774" s="2" customFormat="1" ht="15.75" customHeight="1" x14ac:dyDescent="0.25"/>
    <row r="775" s="2" customFormat="1" ht="15.75" customHeight="1" x14ac:dyDescent="0.25"/>
    <row r="776" s="2" customFormat="1" ht="15.75" customHeight="1" x14ac:dyDescent="0.25"/>
    <row r="777" s="2" customFormat="1" ht="15.75" customHeight="1" x14ac:dyDescent="0.25"/>
    <row r="778" s="2" customFormat="1" ht="15.75" customHeight="1" x14ac:dyDescent="0.25"/>
    <row r="779" s="2" customFormat="1" ht="15.75" customHeight="1" x14ac:dyDescent="0.25"/>
    <row r="780" s="2" customFormat="1" ht="15.75" customHeight="1" x14ac:dyDescent="0.25"/>
    <row r="781" s="2" customFormat="1" ht="15.75" customHeight="1" x14ac:dyDescent="0.25"/>
    <row r="782" s="2" customFormat="1" ht="15.75" customHeight="1" x14ac:dyDescent="0.25"/>
    <row r="783" s="2" customFormat="1" ht="15.75" customHeight="1" x14ac:dyDescent="0.25"/>
    <row r="784" s="2" customFormat="1" ht="15.75" customHeight="1" x14ac:dyDescent="0.25"/>
    <row r="785" s="2" customFormat="1" ht="15.75" customHeight="1" x14ac:dyDescent="0.25"/>
    <row r="786" s="2" customFormat="1" ht="15.75" customHeight="1" x14ac:dyDescent="0.25"/>
    <row r="787" s="2" customFormat="1" ht="15.75" customHeight="1" x14ac:dyDescent="0.25"/>
    <row r="788" s="2" customFormat="1" ht="15.75" customHeight="1" x14ac:dyDescent="0.25"/>
    <row r="789" s="2" customFormat="1" ht="15.75" customHeight="1" x14ac:dyDescent="0.25"/>
    <row r="790" s="2" customFormat="1" ht="15.75" customHeight="1" x14ac:dyDescent="0.25"/>
    <row r="791" s="2" customFormat="1" ht="15.75" customHeight="1" x14ac:dyDescent="0.25"/>
    <row r="792" s="2" customFormat="1" ht="15.75" customHeight="1" x14ac:dyDescent="0.25"/>
    <row r="793" s="2" customFormat="1" ht="15.75" customHeight="1" x14ac:dyDescent="0.25"/>
    <row r="794" s="2" customFormat="1" ht="15.75" customHeight="1" x14ac:dyDescent="0.25"/>
    <row r="795" s="2" customFormat="1" ht="15.75" customHeight="1" x14ac:dyDescent="0.25"/>
    <row r="796" s="2" customFormat="1" ht="15.75" customHeight="1" x14ac:dyDescent="0.25"/>
    <row r="797" s="2" customFormat="1" ht="15.75" customHeight="1" x14ac:dyDescent="0.25"/>
    <row r="798" s="2" customFormat="1" ht="15.75" customHeight="1" x14ac:dyDescent="0.25"/>
    <row r="799" s="2" customFormat="1" ht="15.75" customHeight="1" x14ac:dyDescent="0.25"/>
    <row r="800" s="2" customFormat="1" ht="15.75" customHeight="1" x14ac:dyDescent="0.25"/>
    <row r="801" s="2" customFormat="1" ht="15.75" customHeight="1" x14ac:dyDescent="0.25"/>
    <row r="802" s="2" customFormat="1" ht="15.75" customHeight="1" x14ac:dyDescent="0.25"/>
    <row r="803" s="2" customFormat="1" ht="15.75" customHeight="1" x14ac:dyDescent="0.25"/>
    <row r="804" s="2" customFormat="1" ht="15.75" customHeight="1" x14ac:dyDescent="0.25"/>
    <row r="805" s="2" customFormat="1" ht="15.75" customHeight="1" x14ac:dyDescent="0.25"/>
    <row r="806" s="2" customFormat="1" ht="15.75" customHeight="1" x14ac:dyDescent="0.25"/>
    <row r="807" s="2" customFormat="1" ht="15.75" customHeight="1" x14ac:dyDescent="0.25"/>
    <row r="808" s="2" customFormat="1" ht="15.75" customHeight="1" x14ac:dyDescent="0.25"/>
    <row r="809" s="2" customFormat="1" ht="15.75" customHeight="1" x14ac:dyDescent="0.25"/>
    <row r="810" s="2" customFormat="1" ht="15.75" customHeight="1" x14ac:dyDescent="0.25"/>
    <row r="811" s="2" customFormat="1" ht="15.75" customHeight="1" x14ac:dyDescent="0.25"/>
    <row r="812" s="2" customFormat="1" ht="15.75" customHeight="1" x14ac:dyDescent="0.25"/>
    <row r="813" s="2" customFormat="1" ht="15.75" customHeight="1" x14ac:dyDescent="0.25"/>
    <row r="814" s="2" customFormat="1" ht="15.75" customHeight="1" x14ac:dyDescent="0.25"/>
    <row r="815" s="2" customFormat="1" ht="15.75" customHeight="1" x14ac:dyDescent="0.25"/>
    <row r="816" s="2" customFormat="1" ht="15.75" customHeight="1" x14ac:dyDescent="0.25"/>
    <row r="817" s="2" customFormat="1" ht="15.75" customHeight="1" x14ac:dyDescent="0.25"/>
    <row r="818" s="2" customFormat="1" ht="15.75" customHeight="1" x14ac:dyDescent="0.25"/>
    <row r="819" s="2" customFormat="1" ht="15.75" customHeight="1" x14ac:dyDescent="0.25"/>
    <row r="820" s="2" customFormat="1" ht="15.75" customHeight="1" x14ac:dyDescent="0.25"/>
    <row r="821" s="2" customFormat="1" ht="15.75" customHeight="1" x14ac:dyDescent="0.25"/>
    <row r="822" s="2" customFormat="1" ht="15.75" customHeight="1" x14ac:dyDescent="0.25"/>
    <row r="823" s="2" customFormat="1" ht="15.75" customHeight="1" x14ac:dyDescent="0.25"/>
    <row r="824" s="2" customFormat="1" ht="15.75" customHeight="1" x14ac:dyDescent="0.25"/>
    <row r="825" s="2" customFormat="1" ht="15.75" customHeight="1" x14ac:dyDescent="0.25"/>
    <row r="826" s="2" customFormat="1" ht="15.75" customHeight="1" x14ac:dyDescent="0.25"/>
    <row r="827" s="2" customFormat="1" ht="15.75" customHeight="1" x14ac:dyDescent="0.25"/>
    <row r="828" s="2" customFormat="1" ht="15.75" customHeight="1" x14ac:dyDescent="0.25"/>
    <row r="829" s="2" customFormat="1" ht="15.75" customHeight="1" x14ac:dyDescent="0.25"/>
    <row r="830" s="2" customFormat="1" ht="15.75" customHeight="1" x14ac:dyDescent="0.25"/>
    <row r="831" s="2" customFormat="1" ht="15.75" customHeight="1" x14ac:dyDescent="0.25"/>
    <row r="832" s="2" customFormat="1" ht="15.75" customHeight="1" x14ac:dyDescent="0.25"/>
    <row r="833" s="2" customFormat="1" ht="15.75" customHeight="1" x14ac:dyDescent="0.25"/>
    <row r="834" s="2" customFormat="1" ht="15.75" customHeight="1" x14ac:dyDescent="0.25"/>
    <row r="835" s="2" customFormat="1" ht="15.75" customHeight="1" x14ac:dyDescent="0.25"/>
    <row r="836" s="2" customFormat="1" ht="15.75" customHeight="1" x14ac:dyDescent="0.25"/>
    <row r="837" s="2" customFormat="1" ht="15.75" customHeight="1" x14ac:dyDescent="0.25"/>
    <row r="838" s="2" customFormat="1" ht="15.75" customHeight="1" x14ac:dyDescent="0.25"/>
    <row r="839" s="2" customFormat="1" ht="15.75" customHeight="1" x14ac:dyDescent="0.25"/>
    <row r="840" s="2" customFormat="1" ht="15.75" customHeight="1" x14ac:dyDescent="0.25"/>
    <row r="841" s="2" customFormat="1" ht="15.75" customHeight="1" x14ac:dyDescent="0.25"/>
    <row r="842" s="2" customFormat="1" ht="15.75" customHeight="1" x14ac:dyDescent="0.25"/>
    <row r="843" s="2" customFormat="1" ht="15.75" customHeight="1" x14ac:dyDescent="0.25"/>
    <row r="844" s="2" customFormat="1" ht="15.75" customHeight="1" x14ac:dyDescent="0.25"/>
    <row r="845" s="2" customFormat="1" ht="15.75" customHeight="1" x14ac:dyDescent="0.25"/>
    <row r="846" s="2" customFormat="1" ht="15.75" customHeight="1" x14ac:dyDescent="0.25"/>
    <row r="847" s="2" customFormat="1" ht="15.75" customHeight="1" x14ac:dyDescent="0.25"/>
    <row r="848" s="2" customFormat="1" ht="15.75" customHeight="1" x14ac:dyDescent="0.25"/>
    <row r="849" s="2" customFormat="1" ht="15.75" customHeight="1" x14ac:dyDescent="0.25"/>
    <row r="850" s="2" customFormat="1" ht="15.75" customHeight="1" x14ac:dyDescent="0.25"/>
    <row r="851" s="2" customFormat="1" ht="15.75" customHeight="1" x14ac:dyDescent="0.25"/>
    <row r="852" s="2" customFormat="1" ht="15.75" customHeight="1" x14ac:dyDescent="0.25"/>
    <row r="853" s="2" customFormat="1" ht="15.75" customHeight="1" x14ac:dyDescent="0.25"/>
    <row r="854" s="2" customFormat="1" ht="15.75" customHeight="1" x14ac:dyDescent="0.25"/>
    <row r="855" s="2" customFormat="1" ht="15.75" customHeight="1" x14ac:dyDescent="0.25"/>
    <row r="856" s="2" customFormat="1" ht="15.75" customHeight="1" x14ac:dyDescent="0.25"/>
    <row r="857" s="2" customFormat="1" ht="15.75" customHeight="1" x14ac:dyDescent="0.25"/>
    <row r="858" s="2" customFormat="1" ht="15.75" customHeight="1" x14ac:dyDescent="0.25"/>
    <row r="859" s="2" customFormat="1" ht="15.75" customHeight="1" x14ac:dyDescent="0.25"/>
    <row r="860" s="2" customFormat="1" ht="15.75" customHeight="1" x14ac:dyDescent="0.25"/>
    <row r="861" s="2" customFormat="1" ht="15.75" customHeight="1" x14ac:dyDescent="0.25"/>
    <row r="862" s="2" customFormat="1" ht="15.75" customHeight="1" x14ac:dyDescent="0.25"/>
    <row r="863" s="2" customFormat="1" ht="15.75" customHeight="1" x14ac:dyDescent="0.25"/>
    <row r="864" s="2" customFormat="1" ht="15.75" customHeight="1" x14ac:dyDescent="0.25"/>
    <row r="865" s="2" customFormat="1" ht="15.75" customHeight="1" x14ac:dyDescent="0.25"/>
    <row r="866" s="2" customFormat="1" ht="15.75" customHeight="1" x14ac:dyDescent="0.25"/>
    <row r="867" s="2" customFormat="1" ht="15.75" customHeight="1" x14ac:dyDescent="0.25"/>
    <row r="868" s="2" customFormat="1" ht="15.75" customHeight="1" x14ac:dyDescent="0.25"/>
    <row r="869" s="2" customFormat="1" ht="15.75" customHeight="1" x14ac:dyDescent="0.25"/>
    <row r="870" s="2" customFormat="1" ht="15.75" customHeight="1" x14ac:dyDescent="0.25"/>
    <row r="871" s="2" customFormat="1" ht="15.75" customHeight="1" x14ac:dyDescent="0.25"/>
    <row r="872" s="2" customFormat="1" ht="15.75" customHeight="1" x14ac:dyDescent="0.25"/>
    <row r="873" s="2" customFormat="1" ht="15.75" customHeight="1" x14ac:dyDescent="0.25"/>
    <row r="874" s="2" customFormat="1" ht="15.75" customHeight="1" x14ac:dyDescent="0.25"/>
    <row r="875" s="2" customFormat="1" ht="15.75" customHeight="1" x14ac:dyDescent="0.25"/>
    <row r="876" s="2" customFormat="1" ht="15.75" customHeight="1" x14ac:dyDescent="0.25"/>
    <row r="877" s="2" customFormat="1" ht="15.75" customHeight="1" x14ac:dyDescent="0.25"/>
    <row r="878" s="2" customFormat="1" ht="15.75" customHeight="1" x14ac:dyDescent="0.25"/>
    <row r="879" s="2" customFormat="1" ht="15.75" customHeight="1" x14ac:dyDescent="0.25"/>
    <row r="880" s="2" customFormat="1" ht="15.75" customHeight="1" x14ac:dyDescent="0.25"/>
    <row r="881" s="2" customFormat="1" ht="15.75" customHeight="1" x14ac:dyDescent="0.25"/>
    <row r="882" s="2" customFormat="1" ht="15.75" customHeight="1" x14ac:dyDescent="0.25"/>
    <row r="883" s="2" customFormat="1" ht="15.75" customHeight="1" x14ac:dyDescent="0.25"/>
    <row r="884" s="2" customFormat="1" ht="15.75" customHeight="1" x14ac:dyDescent="0.25"/>
    <row r="885" s="2" customFormat="1" ht="15.75" customHeight="1" x14ac:dyDescent="0.25"/>
    <row r="886" s="2" customFormat="1" ht="15.75" customHeight="1" x14ac:dyDescent="0.25"/>
    <row r="887" s="2" customFormat="1" ht="15.75" customHeight="1" x14ac:dyDescent="0.25"/>
    <row r="888" s="2" customFormat="1" ht="15.75" customHeight="1" x14ac:dyDescent="0.25"/>
    <row r="889" s="2" customFormat="1" ht="15.75" customHeight="1" x14ac:dyDescent="0.25"/>
    <row r="890" s="2" customFormat="1" ht="15.75" customHeight="1" x14ac:dyDescent="0.25"/>
    <row r="891" s="2" customFormat="1" ht="15.75" customHeight="1" x14ac:dyDescent="0.25"/>
    <row r="892" s="2" customFormat="1" ht="15.75" customHeight="1" x14ac:dyDescent="0.25"/>
    <row r="893" s="2" customFormat="1" ht="15.75" customHeight="1" x14ac:dyDescent="0.25"/>
    <row r="894" s="2" customFormat="1" ht="15.75" customHeight="1" x14ac:dyDescent="0.25"/>
    <row r="895" s="2" customFormat="1" ht="15.75" customHeight="1" x14ac:dyDescent="0.25"/>
    <row r="896" s="2" customFormat="1" ht="15.75" customHeight="1" x14ac:dyDescent="0.25"/>
    <row r="897" s="2" customFormat="1" ht="15.75" customHeight="1" x14ac:dyDescent="0.25"/>
    <row r="898" s="2" customFormat="1" ht="15.75" customHeight="1" x14ac:dyDescent="0.25"/>
    <row r="899" s="2" customFormat="1" ht="15.75" customHeight="1" x14ac:dyDescent="0.25"/>
    <row r="900" s="2" customFormat="1" ht="15.75" customHeight="1" x14ac:dyDescent="0.25"/>
    <row r="901" s="2" customFormat="1" ht="15.75" customHeight="1" x14ac:dyDescent="0.25"/>
    <row r="902" s="2" customFormat="1" ht="15.75" customHeight="1" x14ac:dyDescent="0.25"/>
    <row r="903" s="2" customFormat="1" ht="15.75" customHeight="1" x14ac:dyDescent="0.25"/>
    <row r="904" s="2" customFormat="1" ht="15.75" customHeight="1" x14ac:dyDescent="0.25"/>
    <row r="905" s="2" customFormat="1" ht="15.75" customHeight="1" x14ac:dyDescent="0.25"/>
    <row r="906" s="2" customFormat="1" ht="15.75" customHeight="1" x14ac:dyDescent="0.25"/>
    <row r="907" s="2" customFormat="1" ht="15.75" customHeight="1" x14ac:dyDescent="0.25"/>
    <row r="908" s="2" customFormat="1" ht="15.75" customHeight="1" x14ac:dyDescent="0.25"/>
    <row r="909" s="2" customFormat="1" ht="15.75" customHeight="1" x14ac:dyDescent="0.25"/>
    <row r="910" s="2" customFormat="1" ht="15.75" customHeight="1" x14ac:dyDescent="0.25"/>
    <row r="911" s="2" customFormat="1" ht="15.75" customHeight="1" x14ac:dyDescent="0.25"/>
    <row r="912" s="2" customFormat="1" ht="15.75" customHeight="1" x14ac:dyDescent="0.25"/>
    <row r="913" s="2" customFormat="1" ht="15.75" customHeight="1" x14ac:dyDescent="0.25"/>
    <row r="914" s="2" customFormat="1" ht="15.75" customHeight="1" x14ac:dyDescent="0.25"/>
    <row r="915" s="2" customFormat="1" ht="15.75" customHeight="1" x14ac:dyDescent="0.25"/>
    <row r="916" s="2" customFormat="1" ht="15.75" customHeight="1" x14ac:dyDescent="0.25"/>
    <row r="917" s="2" customFormat="1" ht="15.75" customHeight="1" x14ac:dyDescent="0.25"/>
    <row r="918" s="2" customFormat="1" ht="15.75" customHeight="1" x14ac:dyDescent="0.25"/>
    <row r="919" s="2" customFormat="1" ht="15.75" customHeight="1" x14ac:dyDescent="0.25"/>
    <row r="920" s="2" customFormat="1" ht="15.75" customHeight="1" x14ac:dyDescent="0.25"/>
    <row r="921" s="2" customFormat="1" ht="15.75" customHeight="1" x14ac:dyDescent="0.25"/>
    <row r="922" s="2" customFormat="1" ht="15.75" customHeight="1" x14ac:dyDescent="0.25"/>
    <row r="923" s="2" customFormat="1" ht="15.75" customHeight="1" x14ac:dyDescent="0.25"/>
    <row r="924" s="2" customFormat="1" ht="15.75" customHeight="1" x14ac:dyDescent="0.25"/>
    <row r="925" s="2" customFormat="1" ht="15.75" customHeight="1" x14ac:dyDescent="0.25"/>
    <row r="926" s="2" customFormat="1" ht="15.75" customHeight="1" x14ac:dyDescent="0.25"/>
    <row r="927" s="2" customFormat="1" ht="15.75" customHeight="1" x14ac:dyDescent="0.25"/>
    <row r="928" s="2" customFormat="1" ht="15.75" customHeight="1" x14ac:dyDescent="0.25"/>
    <row r="929" s="2" customFormat="1" ht="15.75" customHeight="1" x14ac:dyDescent="0.25"/>
    <row r="930" s="2" customFormat="1" ht="15.75" customHeight="1" x14ac:dyDescent="0.25"/>
    <row r="931" s="2" customFormat="1" ht="15.75" customHeight="1" x14ac:dyDescent="0.25"/>
    <row r="932" s="2" customFormat="1" ht="15.75" customHeight="1" x14ac:dyDescent="0.25"/>
    <row r="933" s="2" customFormat="1" ht="15.75" customHeight="1" x14ac:dyDescent="0.25"/>
    <row r="934" s="2" customFormat="1" ht="15.75" customHeight="1" x14ac:dyDescent="0.25"/>
    <row r="935" s="2" customFormat="1" ht="15.75" customHeight="1" x14ac:dyDescent="0.25"/>
    <row r="936" s="2" customFormat="1" ht="15.75" customHeight="1" x14ac:dyDescent="0.25"/>
    <row r="937" s="2" customFormat="1" ht="15.75" customHeight="1" x14ac:dyDescent="0.25"/>
    <row r="938" s="2" customFormat="1" ht="15.75" customHeight="1" x14ac:dyDescent="0.25"/>
    <row r="939" s="2" customFormat="1" ht="15.75" customHeight="1" x14ac:dyDescent="0.25"/>
    <row r="940" s="2" customFormat="1" ht="15.75" customHeight="1" x14ac:dyDescent="0.25"/>
    <row r="941" s="2" customFormat="1" ht="15.75" customHeight="1" x14ac:dyDescent="0.25"/>
    <row r="942" s="2" customFormat="1" ht="15.75" customHeight="1" x14ac:dyDescent="0.25"/>
    <row r="943" s="2" customFormat="1" ht="15.75" customHeight="1" x14ac:dyDescent="0.25"/>
    <row r="944" s="2" customFormat="1" ht="15.75" customHeight="1" x14ac:dyDescent="0.25"/>
    <row r="945" s="2" customFormat="1" ht="15.75" customHeight="1" x14ac:dyDescent="0.25"/>
    <row r="946" s="2" customFormat="1" ht="15.75" customHeight="1" x14ac:dyDescent="0.25"/>
    <row r="947" s="2" customFormat="1" ht="15.75" customHeight="1" x14ac:dyDescent="0.25"/>
    <row r="948" s="2" customFormat="1" ht="15.75" customHeight="1" x14ac:dyDescent="0.25"/>
    <row r="949" s="2" customFormat="1" ht="15.75" customHeight="1" x14ac:dyDescent="0.25"/>
    <row r="950" s="2" customFormat="1" ht="15.75" customHeight="1" x14ac:dyDescent="0.25"/>
    <row r="951" s="2" customFormat="1" ht="15.75" customHeight="1" x14ac:dyDescent="0.25"/>
    <row r="952" s="2" customFormat="1" ht="15.75" customHeight="1" x14ac:dyDescent="0.25"/>
    <row r="953" s="2" customFormat="1" ht="15.75" customHeight="1" x14ac:dyDescent="0.25"/>
    <row r="954" s="2" customFormat="1" ht="15.75" customHeight="1" x14ac:dyDescent="0.25"/>
    <row r="955" s="2" customFormat="1" ht="15.75" customHeight="1" x14ac:dyDescent="0.25"/>
    <row r="956" s="2" customFormat="1" ht="15.75" customHeight="1" x14ac:dyDescent="0.25"/>
    <row r="957" s="2" customFormat="1" ht="15.75" customHeight="1" x14ac:dyDescent="0.25"/>
    <row r="958" s="2" customFormat="1" ht="15.75" customHeight="1" x14ac:dyDescent="0.25"/>
    <row r="959" s="2" customFormat="1" ht="15.75" customHeight="1" x14ac:dyDescent="0.25"/>
    <row r="960" s="2" customFormat="1" ht="15.75" customHeight="1" x14ac:dyDescent="0.25"/>
    <row r="961" s="2" customFormat="1" ht="15.75" customHeight="1" x14ac:dyDescent="0.25"/>
    <row r="962" s="2" customFormat="1" ht="15.75" customHeight="1" x14ac:dyDescent="0.25"/>
    <row r="963" s="2" customFormat="1" ht="15.75" customHeight="1" x14ac:dyDescent="0.25"/>
    <row r="964" s="2" customFormat="1" ht="15.75" customHeight="1" x14ac:dyDescent="0.25"/>
    <row r="965" s="2" customFormat="1" ht="15.75" customHeight="1" x14ac:dyDescent="0.25"/>
    <row r="966" s="2" customFormat="1" ht="15.75" customHeight="1" x14ac:dyDescent="0.25"/>
    <row r="967" s="2" customFormat="1" ht="15.75" customHeight="1" x14ac:dyDescent="0.25"/>
    <row r="968" s="2" customFormat="1" ht="15.75" customHeight="1" x14ac:dyDescent="0.25"/>
    <row r="969" s="2" customFormat="1" ht="15.75" customHeight="1" x14ac:dyDescent="0.25"/>
    <row r="970" s="2" customFormat="1" ht="15.75" customHeight="1" x14ac:dyDescent="0.25"/>
    <row r="971" s="2" customFormat="1" ht="15.75" customHeight="1" x14ac:dyDescent="0.25"/>
    <row r="972" s="2" customFormat="1" ht="15.75" customHeight="1" x14ac:dyDescent="0.25"/>
    <row r="973" s="2" customFormat="1" ht="15.75" customHeight="1" x14ac:dyDescent="0.25"/>
    <row r="974" s="2" customFormat="1" ht="15.75" customHeight="1" x14ac:dyDescent="0.25"/>
    <row r="975" s="2" customFormat="1" ht="15.75" customHeight="1" x14ac:dyDescent="0.25"/>
    <row r="976" s="2" customFormat="1" ht="15.75" customHeight="1" x14ac:dyDescent="0.25"/>
    <row r="977" s="2" customFormat="1" ht="15.75" customHeight="1" x14ac:dyDescent="0.25"/>
    <row r="978" s="2" customFormat="1" ht="15.75" customHeight="1" x14ac:dyDescent="0.25"/>
    <row r="979" s="2" customFormat="1" ht="15.75" customHeight="1" x14ac:dyDescent="0.25"/>
    <row r="980" s="2" customFormat="1" ht="15.75" customHeight="1" x14ac:dyDescent="0.25"/>
    <row r="981" s="2" customFormat="1" ht="15.75" customHeight="1" x14ac:dyDescent="0.25"/>
    <row r="982" s="2" customFormat="1" ht="15.75" customHeight="1" x14ac:dyDescent="0.25"/>
    <row r="983" s="2" customFormat="1" ht="15.75" customHeight="1" x14ac:dyDescent="0.25"/>
    <row r="984" s="2" customFormat="1" ht="15.75" customHeight="1" x14ac:dyDescent="0.25"/>
    <row r="985" s="2" customFormat="1" ht="15.75" customHeight="1" x14ac:dyDescent="0.25"/>
    <row r="986" s="2" customFormat="1" ht="15.75" customHeight="1" x14ac:dyDescent="0.25"/>
    <row r="987" s="2" customFormat="1" ht="15.75" customHeight="1" x14ac:dyDescent="0.25"/>
    <row r="988" s="2" customFormat="1" ht="15.75" customHeight="1" x14ac:dyDescent="0.25"/>
    <row r="989" s="2" customFormat="1" ht="15.75" customHeight="1" x14ac:dyDescent="0.25"/>
    <row r="990" s="2" customFormat="1" ht="15.75" customHeight="1" x14ac:dyDescent="0.25"/>
    <row r="991" s="2" customFormat="1" ht="15.75" customHeight="1" x14ac:dyDescent="0.25"/>
    <row r="992" s="2" customFormat="1" ht="15.75" customHeight="1" x14ac:dyDescent="0.25"/>
    <row r="993" s="2" customFormat="1" ht="15.75" customHeight="1" x14ac:dyDescent="0.25"/>
    <row r="994" s="2" customFormat="1" ht="15.75" customHeight="1" x14ac:dyDescent="0.25"/>
    <row r="995" s="2" customFormat="1" ht="15.75" customHeight="1" x14ac:dyDescent="0.25"/>
    <row r="996" s="2" customFormat="1" ht="15.75" customHeight="1" x14ac:dyDescent="0.25"/>
    <row r="997" s="2" customFormat="1" ht="15.75" customHeight="1" x14ac:dyDescent="0.25"/>
    <row r="998" s="2" customFormat="1" ht="15.75" customHeight="1" x14ac:dyDescent="0.25"/>
    <row r="999" s="2" customFormat="1" ht="15.75" customHeight="1" x14ac:dyDescent="0.25"/>
    <row r="1000" s="2" customFormat="1" ht="15.75" customHeight="1" x14ac:dyDescent="0.25"/>
  </sheetData>
  <dataValidations count="1">
    <dataValidation type="list" allowBlank="1" showInputMessage="1" showErrorMessage="1" sqref="C8" xr:uid="{687412EB-F92F-455E-B6CD-A6CEFB9499FF}">
      <formula1>"Base,Bull,Bear"</formula1>
    </dataValidation>
  </dataValidation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2"/>
  <sheetViews>
    <sheetView showGridLines="0" topLeftCell="B1" zoomScale="90" zoomScaleNormal="90" workbookViewId="0">
      <selection activeCell="J1" sqref="J1"/>
    </sheetView>
  </sheetViews>
  <sheetFormatPr defaultColWidth="14.42578125" defaultRowHeight="15" customHeight="1" x14ac:dyDescent="0.25"/>
  <cols>
    <col min="1" max="1" width="2" style="53" customWidth="1"/>
    <col min="2" max="2" width="40.42578125" style="53" customWidth="1"/>
    <col min="3" max="4" width="15" style="53" bestFit="1" customWidth="1"/>
    <col min="5" max="8" width="15.42578125" style="53" bestFit="1" customWidth="1"/>
    <col min="9" max="10" width="15.5703125" style="53" bestFit="1" customWidth="1"/>
    <col min="11" max="11" width="14.140625" style="53" bestFit="1" customWidth="1"/>
    <col min="12" max="13" width="8.7109375" style="53" customWidth="1"/>
    <col min="14" max="14" width="24.42578125" style="53" customWidth="1"/>
    <col min="15" max="15" width="9.28515625" style="53" bestFit="1" customWidth="1"/>
    <col min="16" max="16" width="15.140625" style="53" bestFit="1" customWidth="1"/>
    <col min="17" max="17" width="8.7109375" style="53" customWidth="1"/>
    <col min="18" max="18" width="24.42578125" style="53" customWidth="1"/>
    <col min="19" max="19" width="8.7109375" style="53" customWidth="1"/>
    <col min="20" max="20" width="16" style="53" bestFit="1" customWidth="1"/>
    <col min="21" max="29" width="8.7109375" style="53" customWidth="1"/>
    <col min="30" max="16384" width="14.42578125" style="53"/>
  </cols>
  <sheetData>
    <row r="1" spans="1:20" ht="15.75" x14ac:dyDescent="0.25">
      <c r="B1" s="34" t="s">
        <v>66</v>
      </c>
    </row>
    <row r="2" spans="1:20" ht="15.75" x14ac:dyDescent="0.25">
      <c r="B2" s="36" t="s">
        <v>33</v>
      </c>
    </row>
    <row r="3" spans="1:20" ht="15.75" x14ac:dyDescent="0.25">
      <c r="B3" s="37" t="s">
        <v>9</v>
      </c>
      <c r="C3" s="38" t="str">
        <f>Assumptions!C3</f>
        <v>Base</v>
      </c>
      <c r="D3" s="38"/>
    </row>
    <row r="4" spans="1:20" ht="15.75" x14ac:dyDescent="0.25"/>
    <row r="5" spans="1:20" ht="15.75" x14ac:dyDescent="0.25">
      <c r="A5" s="53" t="s">
        <v>34</v>
      </c>
      <c r="B5" s="36" t="s">
        <v>35</v>
      </c>
      <c r="C5" s="209" t="s">
        <v>151</v>
      </c>
      <c r="D5" s="209"/>
      <c r="E5" s="209"/>
      <c r="F5" s="209"/>
      <c r="G5" s="209"/>
      <c r="H5" s="209"/>
      <c r="I5" s="209"/>
      <c r="J5" s="209"/>
      <c r="K5" s="209"/>
    </row>
    <row r="6" spans="1:20" ht="15.75" x14ac:dyDescent="0.25">
      <c r="B6" s="37"/>
      <c r="C6" s="121">
        <v>44227</v>
      </c>
      <c r="D6" s="121">
        <f t="shared" ref="D6:K6" si="0">EOMONTH(C6,12)</f>
        <v>44592</v>
      </c>
      <c r="E6" s="121">
        <f t="shared" si="0"/>
        <v>44957</v>
      </c>
      <c r="F6" s="122">
        <f t="shared" si="0"/>
        <v>45322</v>
      </c>
      <c r="G6" s="122">
        <f t="shared" si="0"/>
        <v>45688</v>
      </c>
      <c r="H6" s="122">
        <f t="shared" si="0"/>
        <v>46053</v>
      </c>
      <c r="I6" s="122">
        <f t="shared" si="0"/>
        <v>46418</v>
      </c>
      <c r="J6" s="122">
        <f t="shared" si="0"/>
        <v>46783</v>
      </c>
      <c r="K6" s="122">
        <f t="shared" si="0"/>
        <v>47149</v>
      </c>
      <c r="M6" s="154"/>
      <c r="N6" s="123" t="s">
        <v>144</v>
      </c>
      <c r="O6" s="124"/>
      <c r="P6" s="124"/>
      <c r="R6" s="175"/>
      <c r="S6" s="176"/>
      <c r="T6" s="176"/>
    </row>
    <row r="7" spans="1:20" ht="15.75" x14ac:dyDescent="0.25">
      <c r="B7" s="125" t="s">
        <v>36</v>
      </c>
      <c r="C7" s="157">
        <f>+'Operating Build'!C11</f>
        <v>1465069</v>
      </c>
      <c r="D7" s="157">
        <f>+'Operating Build'!D11</f>
        <v>1850777</v>
      </c>
      <c r="E7" s="157">
        <f>+'Operating Build'!E11</f>
        <v>2155060</v>
      </c>
      <c r="F7" s="157">
        <f ca="1">+'Operating Build'!F11</f>
        <v>2374611.4104383034</v>
      </c>
      <c r="G7" s="157">
        <f ca="1">+'Operating Build'!G11</f>
        <v>2838749.2130821338</v>
      </c>
      <c r="H7" s="157">
        <f ca="1">+'Operating Build'!H11</f>
        <v>3417183.1187682031</v>
      </c>
      <c r="I7" s="157">
        <f ca="1">+'Operating Build'!I11</f>
        <v>4072965.1898066439</v>
      </c>
      <c r="J7" s="157">
        <f ca="1">+'Operating Build'!J11</f>
        <v>4813919.6581388181</v>
      </c>
      <c r="K7" s="157">
        <f ca="1">+'Operating Build'!K11</f>
        <v>5641592.6736811213</v>
      </c>
      <c r="M7" s="154"/>
      <c r="N7" s="174"/>
      <c r="O7" s="174"/>
      <c r="P7" s="174"/>
      <c r="R7" s="176"/>
      <c r="S7" s="176"/>
      <c r="T7" s="176"/>
    </row>
    <row r="8" spans="1:20" ht="15.75" x14ac:dyDescent="0.25">
      <c r="B8" s="48" t="s">
        <v>15</v>
      </c>
      <c r="C8" s="126"/>
      <c r="D8" s="126">
        <f>'Operating Build'!D12</f>
        <v>0.26326951153836431</v>
      </c>
      <c r="E8" s="126">
        <f>'Operating Build'!E12</f>
        <v>0.16440824583404701</v>
      </c>
      <c r="F8" s="126">
        <f ca="1">'Operating Build'!F12</f>
        <v>0.10187716835647431</v>
      </c>
      <c r="G8" s="126">
        <f ca="1">'Operating Build'!G12</f>
        <v>0.19545842347239462</v>
      </c>
      <c r="H8" s="126">
        <f ca="1">'Operating Build'!H12</f>
        <v>0.20376365161825705</v>
      </c>
      <c r="I8" s="126">
        <f ca="1">'Operating Build'!I12</f>
        <v>0.19190720785101845</v>
      </c>
      <c r="J8" s="126">
        <f ca="1">'Operating Build'!J12</f>
        <v>0.18192015737982525</v>
      </c>
      <c r="K8" s="126">
        <f ca="1">'Operating Build'!K12</f>
        <v>0.1719332839597707</v>
      </c>
      <c r="M8" s="154"/>
      <c r="N8" s="211" t="s">
        <v>101</v>
      </c>
      <c r="O8" s="212"/>
      <c r="P8" s="213"/>
      <c r="R8" s="210"/>
      <c r="S8" s="210"/>
      <c r="T8" s="210"/>
    </row>
    <row r="9" spans="1:20" ht="15.75" x14ac:dyDescent="0.25">
      <c r="B9" s="51" t="s">
        <v>37</v>
      </c>
      <c r="C9" s="117">
        <f>'Operating Build'!C21</f>
        <v>-1087275</v>
      </c>
      <c r="D9" s="117">
        <f>'Operating Build'!D21</f>
        <v>-1345281</v>
      </c>
      <c r="E9" s="117">
        <f>'Operating Build'!E21</f>
        <v>-1695969</v>
      </c>
      <c r="F9" s="117">
        <f ca="1">'Operating Build'!F21</f>
        <v>-1744481.5906713046</v>
      </c>
      <c r="G9" s="117">
        <f ca="1">'Operating Build'!G21</f>
        <v>-1990507.7341117978</v>
      </c>
      <c r="H9" s="117">
        <f ca="1">'Operating Build'!H21</f>
        <v>-2297093.8888330674</v>
      </c>
      <c r="I9" s="117">
        <f ca="1">'Operating Build'!I21</f>
        <v>-2666233.1917684861</v>
      </c>
      <c r="J9" s="117">
        <f ca="1">'Operating Build'!J21</f>
        <v>-3074171.604189577</v>
      </c>
      <c r="K9" s="117">
        <f ca="1">'Operating Build'!K21</f>
        <v>-3512168.8161250064</v>
      </c>
      <c r="M9" s="154"/>
      <c r="N9" s="127" t="s">
        <v>178</v>
      </c>
      <c r="O9" s="128"/>
      <c r="P9" s="170">
        <f ca="1">K12</f>
        <v>3067620.7191892858</v>
      </c>
      <c r="R9" s="176"/>
      <c r="S9" s="176"/>
      <c r="T9" s="177"/>
    </row>
    <row r="10" spans="1:20" ht="15.75" x14ac:dyDescent="0.25">
      <c r="B10" s="51" t="s">
        <v>38</v>
      </c>
      <c r="C10" s="117">
        <f>'Operating Build'!C33</f>
        <v>29500</v>
      </c>
      <c r="D10" s="117">
        <f>'Operating Build'!D33</f>
        <v>27400</v>
      </c>
      <c r="E10" s="117">
        <f>'Operating Build'!E33</f>
        <v>29100</v>
      </c>
      <c r="F10" s="117">
        <f ca="1">'Operating Build'!F33</f>
        <v>33719.482028223909</v>
      </c>
      <c r="G10" s="117">
        <f ca="1">'Operating Build'!G33</f>
        <v>40310.238825766304</v>
      </c>
      <c r="H10" s="117">
        <f ca="1">'Operating Build'!H33</f>
        <v>48524.00028650849</v>
      </c>
      <c r="I10" s="117">
        <f ca="1">'Operating Build'!I33</f>
        <v>57836.105695254344</v>
      </c>
      <c r="J10" s="117">
        <f ca="1">'Operating Build'!J33</f>
        <v>68357.659145571219</v>
      </c>
      <c r="K10" s="117">
        <f ca="1">'Operating Build'!K33</f>
        <v>80110.615966271929</v>
      </c>
      <c r="M10" s="154"/>
      <c r="N10" s="129" t="s">
        <v>145</v>
      </c>
      <c r="O10" s="174"/>
      <c r="P10" s="130">
        <f>15.5</f>
        <v>15.5</v>
      </c>
      <c r="R10" s="176"/>
      <c r="S10" s="176"/>
      <c r="T10" s="178"/>
    </row>
    <row r="11" spans="1:20" ht="15.75" x14ac:dyDescent="0.25">
      <c r="B11" s="51" t="s">
        <v>174</v>
      </c>
      <c r="C11" s="117">
        <f>'Operating Build'!C34</f>
        <v>185000</v>
      </c>
      <c r="D11" s="117">
        <f>'Operating Build'!D34</f>
        <v>234600</v>
      </c>
      <c r="E11" s="117">
        <f>'Operating Build'!E34</f>
        <v>382300</v>
      </c>
      <c r="F11" s="117">
        <f ca="1">'Operating Build'!F34</f>
        <v>361178.39552766597</v>
      </c>
      <c r="G11" s="117">
        <f ca="1">'Operating Build'!G34</f>
        <v>431773.75530979258</v>
      </c>
      <c r="H11" s="117">
        <f ca="1">'Operating Build'!H34</f>
        <v>519753.55236464372</v>
      </c>
      <c r="I11" s="117">
        <f ca="1">'Operating Build'!I34</f>
        <v>619498.0053695906</v>
      </c>
      <c r="J11" s="117">
        <f ca="1">'Operating Build'!J34</f>
        <v>732197.18000291428</v>
      </c>
      <c r="K11" s="117">
        <f ca="1">'Operating Build'!K34</f>
        <v>858086.24566689867</v>
      </c>
      <c r="M11" s="154"/>
      <c r="N11" s="131" t="s">
        <v>102</v>
      </c>
      <c r="O11" s="174"/>
      <c r="P11" s="159">
        <f ca="1">+P9*P10</f>
        <v>47548121.147433929</v>
      </c>
      <c r="R11" s="179"/>
      <c r="S11" s="176"/>
      <c r="T11" s="180"/>
    </row>
    <row r="12" spans="1:20" ht="15.75" x14ac:dyDescent="0.25">
      <c r="B12" s="125" t="s">
        <v>131</v>
      </c>
      <c r="C12" s="158">
        <f>SUM(C7,C9,C10,C11)</f>
        <v>592294</v>
      </c>
      <c r="D12" s="158">
        <f t="shared" ref="D12:K12" si="1">SUM(D7,D9,D10,D11)</f>
        <v>767496</v>
      </c>
      <c r="E12" s="158">
        <f t="shared" si="1"/>
        <v>870491</v>
      </c>
      <c r="F12" s="158">
        <f t="shared" ca="1" si="1"/>
        <v>1025027.6973228886</v>
      </c>
      <c r="G12" s="158">
        <f t="shared" ca="1" si="1"/>
        <v>1320325.4731058949</v>
      </c>
      <c r="H12" s="158">
        <f t="shared" ca="1" si="1"/>
        <v>1688366.7825862879</v>
      </c>
      <c r="I12" s="158">
        <f t="shared" ca="1" si="1"/>
        <v>2084066.1091030028</v>
      </c>
      <c r="J12" s="158">
        <f t="shared" ca="1" si="1"/>
        <v>2540302.8930977266</v>
      </c>
      <c r="K12" s="158">
        <f t="shared" ca="1" si="1"/>
        <v>3067620.7191892858</v>
      </c>
      <c r="M12" s="154"/>
      <c r="N12" s="129" t="s">
        <v>103</v>
      </c>
      <c r="O12" s="174"/>
      <c r="P12" s="132">
        <f>J27</f>
        <v>3.8511111111111109</v>
      </c>
      <c r="R12" s="176"/>
      <c r="S12" s="176"/>
      <c r="T12" s="181"/>
    </row>
    <row r="13" spans="1:20" ht="15.75" x14ac:dyDescent="0.25">
      <c r="B13" s="48" t="s">
        <v>17</v>
      </c>
      <c r="C13" s="134">
        <f>C12/C7</f>
        <v>0.40427720469138312</v>
      </c>
      <c r="D13" s="134">
        <f>D12/D7</f>
        <v>0.41468853351862489</v>
      </c>
      <c r="E13" s="134">
        <f>E12/E7</f>
        <v>0.40392889293105527</v>
      </c>
      <c r="F13" s="134">
        <v>0.35099999999999998</v>
      </c>
      <c r="G13" s="134">
        <v>0.38100000000000001</v>
      </c>
      <c r="H13" s="134">
        <v>0.40300000000000002</v>
      </c>
      <c r="I13" s="134">
        <f>H13</f>
        <v>0.40300000000000002</v>
      </c>
      <c r="J13" s="134">
        <f t="shared" ref="J13:K13" si="2">I13</f>
        <v>0.40300000000000002</v>
      </c>
      <c r="K13" s="134">
        <f t="shared" si="2"/>
        <v>0.40300000000000002</v>
      </c>
      <c r="M13" s="154"/>
      <c r="N13" s="131" t="s">
        <v>104</v>
      </c>
      <c r="O13" s="21"/>
      <c r="P13" s="165">
        <f ca="1">P11/((1+C46)^P12)</f>
        <v>31537582.816056367</v>
      </c>
      <c r="R13" s="179"/>
      <c r="S13" s="176"/>
      <c r="T13" s="180"/>
    </row>
    <row r="14" spans="1:20" ht="15.75" x14ac:dyDescent="0.25">
      <c r="B14" s="51" t="s">
        <v>39</v>
      </c>
      <c r="C14" s="95">
        <f>-C10</f>
        <v>-29500</v>
      </c>
      <c r="D14" s="95">
        <f t="shared" ref="D14:K14" si="3">-D10</f>
        <v>-27400</v>
      </c>
      <c r="E14" s="95">
        <f t="shared" si="3"/>
        <v>-29100</v>
      </c>
      <c r="F14" s="95">
        <f t="shared" ca="1" si="3"/>
        <v>-33719.482028223909</v>
      </c>
      <c r="G14" s="95">
        <f t="shared" ca="1" si="3"/>
        <v>-40310.238825766304</v>
      </c>
      <c r="H14" s="95">
        <f t="shared" ca="1" si="3"/>
        <v>-48524.00028650849</v>
      </c>
      <c r="I14" s="95">
        <f t="shared" ca="1" si="3"/>
        <v>-57836.105695254344</v>
      </c>
      <c r="J14" s="95">
        <f t="shared" ca="1" si="3"/>
        <v>-68357.659145571219</v>
      </c>
      <c r="K14" s="95">
        <f t="shared" ca="1" si="3"/>
        <v>-80110.615966271929</v>
      </c>
      <c r="M14" s="154"/>
      <c r="N14" s="167" t="s">
        <v>179</v>
      </c>
      <c r="O14" s="166"/>
      <c r="P14" s="168">
        <f ca="1">+(C46*P13-J26)/(J26+P13)</f>
        <v>4.0629620821889492E-2</v>
      </c>
      <c r="R14" s="176"/>
      <c r="S14" s="176"/>
      <c r="T14" s="176"/>
    </row>
    <row r="15" spans="1:20" ht="15.75" x14ac:dyDescent="0.25">
      <c r="B15" s="51" t="s">
        <v>177</v>
      </c>
      <c r="C15" s="95">
        <f>-C11</f>
        <v>-185000</v>
      </c>
      <c r="D15" s="95">
        <f t="shared" ref="D15:K15" si="4">-D11</f>
        <v>-234600</v>
      </c>
      <c r="E15" s="95">
        <f t="shared" si="4"/>
        <v>-382300</v>
      </c>
      <c r="F15" s="95">
        <f t="shared" ca="1" si="4"/>
        <v>-361178.39552766597</v>
      </c>
      <c r="G15" s="95">
        <f t="shared" ca="1" si="4"/>
        <v>-431773.75530979258</v>
      </c>
      <c r="H15" s="95">
        <f t="shared" ca="1" si="4"/>
        <v>-519753.55236464372</v>
      </c>
      <c r="I15" s="95">
        <f t="shared" ca="1" si="4"/>
        <v>-619498.0053695906</v>
      </c>
      <c r="J15" s="95">
        <f t="shared" ca="1" si="4"/>
        <v>-732197.18000291428</v>
      </c>
      <c r="K15" s="95">
        <f t="shared" ca="1" si="4"/>
        <v>-858086.24566689867</v>
      </c>
      <c r="M15" s="154"/>
      <c r="N15" s="174"/>
      <c r="O15" s="174"/>
      <c r="P15" s="174"/>
      <c r="R15" s="176"/>
      <c r="S15" s="176"/>
      <c r="T15" s="176"/>
    </row>
    <row r="16" spans="1:20" ht="15.75" x14ac:dyDescent="0.25">
      <c r="B16" s="125" t="s">
        <v>40</v>
      </c>
      <c r="C16" s="158">
        <f>SUM(C12,C14,C15)</f>
        <v>377794</v>
      </c>
      <c r="D16" s="158">
        <f t="shared" ref="D16:K16" si="5">SUM(D12,D14,D15)</f>
        <v>505496</v>
      </c>
      <c r="E16" s="158">
        <f t="shared" si="5"/>
        <v>459091</v>
      </c>
      <c r="F16" s="158">
        <f t="shared" ca="1" si="5"/>
        <v>630129.81976699876</v>
      </c>
      <c r="G16" s="158">
        <f t="shared" ca="1" si="5"/>
        <v>848241.47897033591</v>
      </c>
      <c r="H16" s="158">
        <f t="shared" ca="1" si="5"/>
        <v>1120089.2299351357</v>
      </c>
      <c r="I16" s="158">
        <f t="shared" ca="1" si="5"/>
        <v>1406731.9980381578</v>
      </c>
      <c r="J16" s="158">
        <f t="shared" ca="1" si="5"/>
        <v>1739748.0539492411</v>
      </c>
      <c r="K16" s="158">
        <f t="shared" ca="1" si="5"/>
        <v>2129423.8575561149</v>
      </c>
      <c r="M16" s="154"/>
      <c r="N16" s="206" t="s">
        <v>105</v>
      </c>
      <c r="O16" s="207"/>
      <c r="P16" s="208"/>
      <c r="R16" s="210"/>
      <c r="S16" s="210"/>
      <c r="T16" s="210"/>
    </row>
    <row r="17" spans="2:20" ht="15.75" x14ac:dyDescent="0.25">
      <c r="B17" s="48" t="s">
        <v>17</v>
      </c>
      <c r="C17" s="134">
        <f t="shared" ref="C17:K17" si="6">C16/C7</f>
        <v>0.25786771817573095</v>
      </c>
      <c r="D17" s="134">
        <f t="shared" si="6"/>
        <v>0.27312636800651835</v>
      </c>
      <c r="E17" s="134">
        <f t="shared" si="6"/>
        <v>0.21302933561014542</v>
      </c>
      <c r="F17" s="134">
        <f t="shared" ca="1" si="6"/>
        <v>0.26536123636780218</v>
      </c>
      <c r="G17" s="134">
        <f t="shared" ca="1" si="6"/>
        <v>0.29880817758091743</v>
      </c>
      <c r="H17" s="134">
        <f t="shared" ca="1" si="6"/>
        <v>0.32778144776124724</v>
      </c>
      <c r="I17" s="134">
        <f t="shared" ca="1" si="6"/>
        <v>0.34538276967325116</v>
      </c>
      <c r="J17" s="134">
        <f t="shared" ca="1" si="6"/>
        <v>0.36139947849106213</v>
      </c>
      <c r="K17" s="134">
        <f t="shared" ca="1" si="6"/>
        <v>0.37745083360771464</v>
      </c>
      <c r="M17" s="154"/>
      <c r="N17" s="129" t="s">
        <v>106</v>
      </c>
      <c r="O17" s="174"/>
      <c r="P17" s="169">
        <f ca="1">SUM(F29:J29)</f>
        <v>5615820.9131344799</v>
      </c>
      <c r="R17" s="176"/>
      <c r="S17" s="176"/>
      <c r="T17" s="182"/>
    </row>
    <row r="18" spans="2:20" ht="15.75" x14ac:dyDescent="0.25">
      <c r="B18" s="51" t="s">
        <v>41</v>
      </c>
      <c r="C18" s="95">
        <f>'Operating Build'!C27</f>
        <v>-13995</v>
      </c>
      <c r="D18" s="95">
        <f>'Operating Build'!D27</f>
        <v>-84921</v>
      </c>
      <c r="E18" s="95">
        <f>'Operating Build'!E27</f>
        <v>-21390</v>
      </c>
      <c r="F18" s="95">
        <f ca="1">'Operating Build'!F27</f>
        <v>-137438.59215106972</v>
      </c>
      <c r="G18" s="95">
        <f ca="1">'Operating Build'!G27</f>
        <v>-183242.04058377055</v>
      </c>
      <c r="H18" s="95">
        <f ca="1">'Operating Build'!H27</f>
        <v>-240330.06828637849</v>
      </c>
      <c r="I18" s="95">
        <f ca="1">'Operating Build'!I27</f>
        <v>-300525.04958801315</v>
      </c>
      <c r="J18" s="95">
        <f ca="1">'Operating Build'!J27</f>
        <v>-370458.42132934061</v>
      </c>
      <c r="K18" s="95">
        <f ca="1">'Operating Build'!K27</f>
        <v>-452290.3400867841</v>
      </c>
      <c r="M18" s="154"/>
      <c r="N18" s="129" t="s">
        <v>107</v>
      </c>
      <c r="O18" s="174"/>
      <c r="P18" s="161">
        <f ca="1">+P13</f>
        <v>31537582.816056367</v>
      </c>
      <c r="R18" s="176"/>
      <c r="S18" s="176"/>
      <c r="T18" s="177"/>
    </row>
    <row r="19" spans="2:20" ht="15.75" x14ac:dyDescent="0.25">
      <c r="B19" s="125" t="s">
        <v>43</v>
      </c>
      <c r="C19" s="158">
        <f>SUM(C16,C18)</f>
        <v>363799</v>
      </c>
      <c r="D19" s="158">
        <f t="shared" ref="D19:K19" si="7">SUM(D16,D18)</f>
        <v>420575</v>
      </c>
      <c r="E19" s="158">
        <f t="shared" si="7"/>
        <v>437701</v>
      </c>
      <c r="F19" s="158">
        <f t="shared" ca="1" si="7"/>
        <v>492691.22761592903</v>
      </c>
      <c r="G19" s="158">
        <f t="shared" ca="1" si="7"/>
        <v>664999.43838656531</v>
      </c>
      <c r="H19" s="158">
        <f t="shared" ca="1" si="7"/>
        <v>879759.16164875717</v>
      </c>
      <c r="I19" s="158">
        <f t="shared" ca="1" si="7"/>
        <v>1106206.9484501446</v>
      </c>
      <c r="J19" s="158">
        <f t="shared" ca="1" si="7"/>
        <v>1369289.6326199004</v>
      </c>
      <c r="K19" s="158">
        <f t="shared" ca="1" si="7"/>
        <v>1677133.5174693307</v>
      </c>
      <c r="M19" s="154"/>
      <c r="N19" s="131" t="s">
        <v>108</v>
      </c>
      <c r="O19" s="174"/>
      <c r="P19" s="159">
        <f ca="1">+P17+P18</f>
        <v>37153403.729190849</v>
      </c>
      <c r="R19" s="179"/>
      <c r="S19" s="176"/>
      <c r="T19" s="180"/>
    </row>
    <row r="20" spans="2:20" ht="15.75" x14ac:dyDescent="0.25">
      <c r="B20" s="51" t="s">
        <v>38</v>
      </c>
      <c r="C20" s="95">
        <f>-C14</f>
        <v>29500</v>
      </c>
      <c r="D20" s="95">
        <f t="shared" ref="D20:K20" si="8">-D14</f>
        <v>27400</v>
      </c>
      <c r="E20" s="95">
        <f t="shared" si="8"/>
        <v>29100</v>
      </c>
      <c r="F20" s="95">
        <f t="shared" ca="1" si="8"/>
        <v>33719.482028223909</v>
      </c>
      <c r="G20" s="95">
        <f t="shared" ca="1" si="8"/>
        <v>40310.238825766304</v>
      </c>
      <c r="H20" s="95">
        <f t="shared" ca="1" si="8"/>
        <v>48524.00028650849</v>
      </c>
      <c r="I20" s="95">
        <f t="shared" ca="1" si="8"/>
        <v>57836.105695254344</v>
      </c>
      <c r="J20" s="95">
        <f t="shared" ca="1" si="8"/>
        <v>68357.659145571219</v>
      </c>
      <c r="K20" s="95">
        <f t="shared" ca="1" si="8"/>
        <v>80110.615966271929</v>
      </c>
      <c r="M20" s="154"/>
      <c r="N20" s="129" t="s">
        <v>109</v>
      </c>
      <c r="O20" s="174"/>
      <c r="P20" s="135">
        <f ca="1">+P17/P19</f>
        <v>0.15115225926722339</v>
      </c>
      <c r="R20" s="176"/>
      <c r="S20" s="176"/>
      <c r="T20" s="183"/>
    </row>
    <row r="21" spans="2:20" ht="15.75" x14ac:dyDescent="0.25">
      <c r="B21" s="51" t="s">
        <v>174</v>
      </c>
      <c r="C21" s="95">
        <f>-C15</f>
        <v>185000</v>
      </c>
      <c r="D21" s="95">
        <f t="shared" ref="D21:K21" si="9">-D15</f>
        <v>234600</v>
      </c>
      <c r="E21" s="95">
        <f t="shared" si="9"/>
        <v>382300</v>
      </c>
      <c r="F21" s="95">
        <f t="shared" ca="1" si="9"/>
        <v>361178.39552766597</v>
      </c>
      <c r="G21" s="95">
        <f t="shared" ca="1" si="9"/>
        <v>431773.75530979258</v>
      </c>
      <c r="H21" s="95">
        <f t="shared" ca="1" si="9"/>
        <v>519753.55236464372</v>
      </c>
      <c r="I21" s="95">
        <f t="shared" ca="1" si="9"/>
        <v>619498.0053695906</v>
      </c>
      <c r="J21" s="95">
        <f t="shared" ca="1" si="9"/>
        <v>732197.18000291428</v>
      </c>
      <c r="K21" s="95">
        <f t="shared" ca="1" si="9"/>
        <v>858086.24566689867</v>
      </c>
      <c r="M21" s="154"/>
      <c r="N21" s="129" t="s">
        <v>110</v>
      </c>
      <c r="O21" s="174"/>
      <c r="P21" s="135">
        <f ca="1">+P18/P19</f>
        <v>0.84884774073277658</v>
      </c>
      <c r="R21" s="176"/>
      <c r="S21" s="176"/>
      <c r="T21" s="183"/>
    </row>
    <row r="22" spans="2:20" ht="15.75" customHeight="1" x14ac:dyDescent="0.25">
      <c r="B22" s="51" t="s">
        <v>44</v>
      </c>
      <c r="C22" s="95">
        <f>'Operating Build'!C38</f>
        <v>-8700</v>
      </c>
      <c r="D22" s="95">
        <f>'Operating Build'!D38</f>
        <v>-14200</v>
      </c>
      <c r="E22" s="95">
        <f>'Operating Build'!E38</f>
        <v>-13500</v>
      </c>
      <c r="F22" s="95">
        <f ca="1">'Operating Build'!F38</f>
        <v>-14485.129603673649</v>
      </c>
      <c r="G22" s="95">
        <f ca="1">'Operating Build'!G38</f>
        <v>-15896.995593259946</v>
      </c>
      <c r="H22" s="95">
        <f ca="1">'Operating Build'!H38</f>
        <v>-17427.63390571783</v>
      </c>
      <c r="I22" s="95">
        <f ca="1">'Operating Build'!I38</f>
        <v>-18735.639873110555</v>
      </c>
      <c r="J22" s="95">
        <f ca="1">'Operating Build'!J38</f>
        <v>-19737.070598369144</v>
      </c>
      <c r="K22" s="95">
        <f ca="1">'Operating Build'!K38</f>
        <v>-20309.733625252025</v>
      </c>
      <c r="M22" s="154"/>
      <c r="N22" s="136" t="s">
        <v>108</v>
      </c>
      <c r="O22" s="124"/>
      <c r="P22" s="137">
        <f ca="1">+P20+P21</f>
        <v>1</v>
      </c>
      <c r="R22" s="184"/>
      <c r="S22" s="176"/>
      <c r="T22" s="185"/>
    </row>
    <row r="23" spans="2:20" ht="15.75" customHeight="1" x14ac:dyDescent="0.25">
      <c r="B23" s="51" t="s">
        <v>45</v>
      </c>
      <c r="C23" s="95"/>
      <c r="D23" s="95">
        <f>'Operating Build'!D53</f>
        <v>27400</v>
      </c>
      <c r="E23" s="95">
        <f>'Operating Build'!E53</f>
        <v>29300</v>
      </c>
      <c r="F23" s="95">
        <f ca="1">'Operating Build'!F53</f>
        <v>43707.638912053313</v>
      </c>
      <c r="G23" s="95">
        <f ca="1">'Operating Build'!G53</f>
        <v>16342.999224217841</v>
      </c>
      <c r="H23" s="95">
        <f ca="1">'Operating Build'!H53</f>
        <v>19945.289250651374</v>
      </c>
      <c r="I23" s="95">
        <f ca="1">'Operating Build'!I53</f>
        <v>24499.833269430557</v>
      </c>
      <c r="J23" s="95">
        <f ca="1">'Operating Build'!J53</f>
        <v>27982.853914933978</v>
      </c>
      <c r="K23" s="95">
        <f ca="1">'Operating Build'!K53</f>
        <v>31211.076274317456</v>
      </c>
      <c r="M23" s="154"/>
      <c r="N23" s="174"/>
      <c r="O23" s="174"/>
      <c r="P23" s="174"/>
      <c r="R23" s="176"/>
      <c r="S23" s="176"/>
      <c r="T23" s="176"/>
    </row>
    <row r="24" spans="2:20" ht="15.75" customHeight="1" x14ac:dyDescent="0.25">
      <c r="B24" s="125" t="s">
        <v>46</v>
      </c>
      <c r="C24" s="158">
        <f t="shared" ref="C24:K24" si="10">SUM(C19:C23)</f>
        <v>569599</v>
      </c>
      <c r="D24" s="158">
        <f t="shared" si="10"/>
        <v>695775</v>
      </c>
      <c r="E24" s="158">
        <f t="shared" si="10"/>
        <v>864901</v>
      </c>
      <c r="F24" s="158">
        <f t="shared" ca="1" si="10"/>
        <v>916811.61448019848</v>
      </c>
      <c r="G24" s="158">
        <f t="shared" ca="1" si="10"/>
        <v>1137529.4361530819</v>
      </c>
      <c r="H24" s="158">
        <f t="shared" ca="1" si="10"/>
        <v>1450554.3696448428</v>
      </c>
      <c r="I24" s="158">
        <f t="shared" ca="1" si="10"/>
        <v>1789305.2529113097</v>
      </c>
      <c r="J24" s="158">
        <f t="shared" ca="1" si="10"/>
        <v>2178090.2550849505</v>
      </c>
      <c r="K24" s="158">
        <f t="shared" ca="1" si="10"/>
        <v>2626231.721751567</v>
      </c>
      <c r="M24" s="154"/>
      <c r="N24" s="171" t="s">
        <v>111</v>
      </c>
      <c r="O24" s="172"/>
      <c r="P24" s="173"/>
      <c r="R24" s="186"/>
      <c r="S24" s="186"/>
      <c r="T24" s="186"/>
    </row>
    <row r="25" spans="2:20" ht="15.75" customHeight="1" x14ac:dyDescent="0.25">
      <c r="B25" s="51" t="s">
        <v>47</v>
      </c>
      <c r="C25" s="61"/>
      <c r="D25" s="61"/>
      <c r="E25" s="61"/>
      <c r="F25" s="61">
        <f ca="1">-YEARFRAC(Master!C5,DCF!F6)*F24</f>
        <v>-285230.28006050619</v>
      </c>
      <c r="G25" s="61"/>
      <c r="H25" s="61"/>
      <c r="I25" s="61"/>
      <c r="J25" s="61"/>
      <c r="K25" s="61"/>
      <c r="M25" s="154"/>
      <c r="N25" s="138" t="s">
        <v>112</v>
      </c>
      <c r="O25" s="34"/>
      <c r="P25" s="160">
        <f ca="1">+P19</f>
        <v>37153403.729190849</v>
      </c>
      <c r="R25" s="175"/>
      <c r="S25" s="175"/>
      <c r="T25" s="180"/>
    </row>
    <row r="26" spans="2:20" ht="15.75" customHeight="1" x14ac:dyDescent="0.25">
      <c r="B26" s="125" t="s">
        <v>48</v>
      </c>
      <c r="C26" s="158">
        <f t="shared" ref="C26:K26" si="11">C24</f>
        <v>569599</v>
      </c>
      <c r="D26" s="158">
        <f t="shared" si="11"/>
        <v>695775</v>
      </c>
      <c r="E26" s="158">
        <f t="shared" si="11"/>
        <v>864901</v>
      </c>
      <c r="F26" s="158">
        <f ca="1">SUM(F24:F25)</f>
        <v>631581.33441969228</v>
      </c>
      <c r="G26" s="158">
        <f t="shared" ca="1" si="11"/>
        <v>1137529.4361530819</v>
      </c>
      <c r="H26" s="158">
        <f t="shared" ca="1" si="11"/>
        <v>1450554.3696448428</v>
      </c>
      <c r="I26" s="158">
        <f t="shared" ca="1" si="11"/>
        <v>1789305.2529113097</v>
      </c>
      <c r="J26" s="158">
        <f t="shared" ca="1" si="11"/>
        <v>2178090.2550849505</v>
      </c>
      <c r="K26" s="158">
        <f t="shared" ca="1" si="11"/>
        <v>2626231.721751567</v>
      </c>
      <c r="M26" s="154"/>
      <c r="N26" s="139" t="s">
        <v>113</v>
      </c>
      <c r="O26" s="174"/>
      <c r="P26" s="162">
        <f>-C43</f>
        <v>-58500</v>
      </c>
      <c r="R26" s="187"/>
      <c r="S26" s="176"/>
      <c r="T26" s="177"/>
    </row>
    <row r="27" spans="2:20" ht="15.75" customHeight="1" x14ac:dyDescent="0.25">
      <c r="B27" s="51" t="s">
        <v>49</v>
      </c>
      <c r="C27" s="140"/>
      <c r="D27" s="140"/>
      <c r="E27" s="140"/>
      <c r="F27" s="140">
        <f>YEARFRAC(Master!C5,DCF!F6,)/2</f>
        <v>0.15555555555555556</v>
      </c>
      <c r="G27" s="140">
        <f>F27*2+0.54</f>
        <v>0.85111111111111115</v>
      </c>
      <c r="H27" s="140">
        <f t="shared" ref="H27:K27" si="12">G27+1</f>
        <v>1.8511111111111112</v>
      </c>
      <c r="I27" s="140">
        <f t="shared" si="12"/>
        <v>2.8511111111111109</v>
      </c>
      <c r="J27" s="140">
        <f t="shared" si="12"/>
        <v>3.8511111111111109</v>
      </c>
      <c r="K27" s="140">
        <f t="shared" si="12"/>
        <v>4.8511111111111109</v>
      </c>
      <c r="M27" s="154"/>
      <c r="N27" s="139" t="s">
        <v>114</v>
      </c>
      <c r="O27" s="174"/>
      <c r="P27" s="163">
        <v>3868700</v>
      </c>
      <c r="R27" s="187"/>
      <c r="S27" s="176"/>
      <c r="T27" s="188"/>
    </row>
    <row r="28" spans="2:20" ht="15.75" customHeight="1" x14ac:dyDescent="0.25">
      <c r="B28" s="51" t="s">
        <v>50</v>
      </c>
      <c r="C28" s="140"/>
      <c r="D28" s="140"/>
      <c r="E28" s="140"/>
      <c r="F28" s="140">
        <f t="shared" ref="F28:K28" si="13">1/(1+$C$46)^F27</f>
        <v>0.98355315961821588</v>
      </c>
      <c r="G28" s="140">
        <f t="shared" si="13"/>
        <v>0.91325883929077301</v>
      </c>
      <c r="H28" s="140">
        <f t="shared" si="13"/>
        <v>0.82090758924464347</v>
      </c>
      <c r="I28" s="140">
        <f t="shared" si="13"/>
        <v>0.73789515204997891</v>
      </c>
      <c r="J28" s="140">
        <f t="shared" si="13"/>
        <v>0.66327716122087788</v>
      </c>
      <c r="K28" s="140">
        <f t="shared" si="13"/>
        <v>0.59620474721241801</v>
      </c>
      <c r="M28" s="154"/>
      <c r="N28" s="138" t="s">
        <v>115</v>
      </c>
      <c r="O28" s="34"/>
      <c r="P28" s="164">
        <f ca="1">+P25+P26+P27</f>
        <v>40963603.729190849</v>
      </c>
      <c r="R28" s="175"/>
      <c r="S28" s="175"/>
      <c r="T28" s="180"/>
    </row>
    <row r="29" spans="2:20" ht="15.75" customHeight="1" x14ac:dyDescent="0.25">
      <c r="B29" s="125" t="s">
        <v>51</v>
      </c>
      <c r="C29" s="133"/>
      <c r="D29" s="133"/>
      <c r="E29" s="133"/>
      <c r="F29" s="158">
        <f t="shared" ref="F29:K29" ca="1" si="14">F26*F28</f>
        <v>621193.81702437741</v>
      </c>
      <c r="G29" s="158">
        <f t="shared" ca="1" si="14"/>
        <v>1038858.8125202511</v>
      </c>
      <c r="H29" s="158">
        <f t="shared" ca="1" si="14"/>
        <v>1190771.0906534314</v>
      </c>
      <c r="I29" s="158">
        <f t="shared" ca="1" si="14"/>
        <v>1320319.6716608168</v>
      </c>
      <c r="J29" s="158">
        <f t="shared" ca="1" si="14"/>
        <v>1444677.5212756037</v>
      </c>
      <c r="K29" s="158">
        <f t="shared" ca="1" si="14"/>
        <v>1565771.8197881263</v>
      </c>
      <c r="M29" s="154"/>
      <c r="N29" s="139" t="s">
        <v>116</v>
      </c>
      <c r="O29" s="174"/>
      <c r="P29" s="163">
        <v>160700</v>
      </c>
      <c r="R29" s="187"/>
      <c r="S29" s="176"/>
      <c r="T29" s="188"/>
    </row>
    <row r="30" spans="2:20" ht="15.75" customHeight="1" x14ac:dyDescent="0.25">
      <c r="M30" s="154"/>
      <c r="N30" s="131" t="s">
        <v>117</v>
      </c>
      <c r="O30" s="34"/>
      <c r="P30" s="141">
        <f ca="1">+(P28)/P29</f>
        <v>254.90730385308555</v>
      </c>
      <c r="R30" s="179"/>
      <c r="S30" s="175"/>
      <c r="T30" s="189"/>
    </row>
    <row r="31" spans="2:20" ht="15.75" customHeight="1" x14ac:dyDescent="0.25">
      <c r="M31" s="154"/>
      <c r="N31" s="142" t="s">
        <v>5</v>
      </c>
      <c r="O31" s="124"/>
      <c r="P31" s="143">
        <f ca="1">P30/Master!C6 Master!C6 -1</f>
        <v>0.19618631559401956</v>
      </c>
      <c r="R31" s="187"/>
      <c r="S31" s="176"/>
      <c r="T31" s="183"/>
    </row>
    <row r="32" spans="2:20" ht="15.75" customHeight="1" x14ac:dyDescent="0.25">
      <c r="B32" s="144" t="s">
        <v>52</v>
      </c>
      <c r="C32" s="145"/>
      <c r="M32" s="154"/>
      <c r="N32" s="174"/>
      <c r="O32" s="174"/>
      <c r="P32" s="174"/>
      <c r="R32" s="176"/>
      <c r="S32" s="176"/>
      <c r="T32" s="176"/>
    </row>
    <row r="33" spans="1:16" ht="15.75" customHeight="1" x14ac:dyDescent="0.25">
      <c r="B33" s="146" t="s">
        <v>53</v>
      </c>
      <c r="C33" s="69">
        <f>5.45%</f>
        <v>5.45E-2</v>
      </c>
      <c r="M33" s="154"/>
      <c r="N33" s="210"/>
      <c r="O33" s="210"/>
      <c r="P33"/>
    </row>
    <row r="34" spans="1:16" ht="15.75" customHeight="1" x14ac:dyDescent="0.25">
      <c r="B34" s="146" t="s">
        <v>54</v>
      </c>
      <c r="C34" s="147">
        <v>1.2</v>
      </c>
      <c r="N34" s="190"/>
      <c r="O34" s="191"/>
    </row>
    <row r="35" spans="1:16" ht="15.75" customHeight="1" x14ac:dyDescent="0.25">
      <c r="B35" s="146" t="s">
        <v>55</v>
      </c>
      <c r="C35" s="148">
        <f>4.8%</f>
        <v>4.8000000000000001E-2</v>
      </c>
      <c r="N35" s="190"/>
      <c r="O35" s="191"/>
    </row>
    <row r="36" spans="1:16" ht="15.75" customHeight="1" x14ac:dyDescent="0.25">
      <c r="B36" s="149" t="s">
        <v>56</v>
      </c>
      <c r="C36" s="150">
        <f>C33*C34+C35</f>
        <v>0.1134</v>
      </c>
      <c r="N36" s="190"/>
      <c r="O36" s="192"/>
    </row>
    <row r="37" spans="1:16" ht="15.75" customHeight="1" x14ac:dyDescent="0.25">
      <c r="B37" s="146" t="s">
        <v>57</v>
      </c>
      <c r="C37" s="148">
        <v>4.7300000000000002E-2</v>
      </c>
      <c r="N37" s="190"/>
      <c r="O37" s="193"/>
    </row>
    <row r="38" spans="1:16" ht="15.75" customHeight="1" x14ac:dyDescent="0.25">
      <c r="B38" s="146" t="s">
        <v>65</v>
      </c>
      <c r="C38" s="68">
        <f>1.4%</f>
        <v>1.3999999999999999E-2</v>
      </c>
      <c r="N38" s="179"/>
      <c r="O38" s="189"/>
    </row>
    <row r="39" spans="1:16" ht="15.75" customHeight="1" x14ac:dyDescent="0.25">
      <c r="B39" s="146" t="s">
        <v>58</v>
      </c>
      <c r="C39" s="151">
        <v>0.2</v>
      </c>
      <c r="F39" s="205"/>
      <c r="N39" s="190"/>
      <c r="O39" s="194"/>
    </row>
    <row r="40" spans="1:16" ht="15.75" customHeight="1" x14ac:dyDescent="0.25">
      <c r="A40" s="155"/>
      <c r="B40" s="149" t="s">
        <v>59</v>
      </c>
      <c r="C40" s="150">
        <f>+(C38+C37)*(1-C39)</f>
        <v>4.904E-2</v>
      </c>
      <c r="N40" s="176"/>
      <c r="O40" s="176"/>
    </row>
    <row r="41" spans="1:16" ht="15.75" customHeight="1" x14ac:dyDescent="0.25">
      <c r="A41" s="156"/>
      <c r="B41" s="21"/>
      <c r="C41" s="21"/>
    </row>
    <row r="42" spans="1:16" ht="15.75" customHeight="1" x14ac:dyDescent="0.25">
      <c r="A42" s="156"/>
      <c r="B42" s="146" t="s">
        <v>60</v>
      </c>
      <c r="C42" s="152">
        <f>4152600</f>
        <v>4152600</v>
      </c>
    </row>
    <row r="43" spans="1:16" ht="15.75" customHeight="1" x14ac:dyDescent="0.25">
      <c r="A43" s="156"/>
      <c r="B43" s="146" t="s">
        <v>61</v>
      </c>
      <c r="C43" s="152">
        <f>58500</f>
        <v>58500</v>
      </c>
    </row>
    <row r="44" spans="1:16" ht="15.75" customHeight="1" x14ac:dyDescent="0.25">
      <c r="A44" s="155"/>
      <c r="B44" s="146" t="s">
        <v>62</v>
      </c>
      <c r="C44" s="148">
        <f>98.6%</f>
        <v>0.98599999999999999</v>
      </c>
    </row>
    <row r="45" spans="1:16" ht="15.75" customHeight="1" x14ac:dyDescent="0.25">
      <c r="A45" s="156"/>
      <c r="B45" s="146" t="s">
        <v>63</v>
      </c>
      <c r="C45" s="148">
        <f>1.4%</f>
        <v>1.3999999999999999E-2</v>
      </c>
    </row>
    <row r="46" spans="1:16" ht="15.75" customHeight="1" x14ac:dyDescent="0.25">
      <c r="A46" s="156"/>
      <c r="B46" s="149" t="s">
        <v>64</v>
      </c>
      <c r="C46" s="153">
        <f>C44*C36+C45*C40</f>
        <v>0.11249896000000001</v>
      </c>
    </row>
    <row r="47" spans="1:16" ht="15.75" customHeight="1" x14ac:dyDescent="0.25">
      <c r="A47" s="156"/>
    </row>
    <row r="48" spans="1:16" ht="15.75" customHeight="1" x14ac:dyDescent="0.25">
      <c r="A48" s="156"/>
    </row>
    <row r="49" spans="1:11" ht="15.75" customHeight="1" x14ac:dyDescent="0.25">
      <c r="A49" s="156"/>
    </row>
    <row r="50" spans="1:11" ht="15.75" customHeight="1" x14ac:dyDescent="0.25">
      <c r="A50" s="155"/>
    </row>
    <row r="51" spans="1:11" ht="15.75" customHeight="1" x14ac:dyDescent="0.25"/>
    <row r="52" spans="1:11" ht="15.75" customHeight="1" x14ac:dyDescent="0.25"/>
    <row r="53" spans="1:11" ht="15.75" customHeight="1" x14ac:dyDescent="0.25"/>
    <row r="54" spans="1:11" ht="15.75" customHeight="1" x14ac:dyDescent="0.25"/>
    <row r="55" spans="1:11" ht="15.75" customHeight="1" x14ac:dyDescent="0.25"/>
    <row r="56" spans="1:11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5.75" customHeight="1" x14ac:dyDescent="0.25">
      <c r="A58" s="21"/>
      <c r="B58" s="18"/>
      <c r="C58" s="19"/>
      <c r="D58" s="19"/>
      <c r="E58" s="19"/>
      <c r="F58" s="19"/>
      <c r="G58" s="19"/>
      <c r="H58" s="19"/>
      <c r="I58" s="19"/>
      <c r="J58" s="19"/>
      <c r="K58" s="21"/>
    </row>
    <row r="59" spans="1:11" ht="15.75" customHeight="1" x14ac:dyDescent="0.25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1"/>
    </row>
    <row r="60" spans="1:11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5.75" customHeight="1" x14ac:dyDescent="0.2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1"/>
    </row>
    <row r="62" spans="1:11" ht="15.75" customHeight="1" x14ac:dyDescent="0.25">
      <c r="A62" s="21"/>
      <c r="B62" s="24"/>
      <c r="C62" s="23"/>
      <c r="D62" s="23"/>
      <c r="E62" s="23"/>
      <c r="F62" s="23"/>
      <c r="G62" s="23"/>
      <c r="H62" s="23"/>
      <c r="I62" s="23"/>
      <c r="J62" s="23"/>
      <c r="K62" s="21"/>
    </row>
    <row r="63" spans="1:11" ht="15.75" customHeight="1" x14ac:dyDescent="0.25">
      <c r="A63" s="21"/>
      <c r="B63" s="22"/>
      <c r="C63" s="25"/>
      <c r="D63" s="25"/>
      <c r="E63" s="25"/>
      <c r="F63" s="25"/>
      <c r="G63" s="25"/>
      <c r="H63" s="25"/>
      <c r="I63" s="25"/>
      <c r="J63" s="25"/>
      <c r="K63" s="21"/>
    </row>
    <row r="64" spans="1:11" ht="15.75" customHeight="1" x14ac:dyDescent="0.25">
      <c r="A64" s="21"/>
      <c r="B64" s="24"/>
      <c r="C64" s="23"/>
      <c r="D64" s="23"/>
      <c r="E64" s="23"/>
      <c r="F64" s="23"/>
      <c r="G64" s="23"/>
      <c r="H64" s="23"/>
      <c r="I64" s="23"/>
      <c r="J64" s="23"/>
      <c r="K64" s="21"/>
    </row>
    <row r="65" spans="1:11" ht="15.75" customHeight="1" x14ac:dyDescent="0.25">
      <c r="A65" s="21"/>
      <c r="B65" s="24"/>
      <c r="C65" s="21"/>
      <c r="D65" s="21"/>
      <c r="E65" s="21"/>
      <c r="F65" s="26"/>
      <c r="G65" s="26"/>
      <c r="H65" s="26"/>
      <c r="I65" s="26"/>
      <c r="J65" s="26"/>
      <c r="K65" s="21"/>
    </row>
    <row r="66" spans="1:11" ht="15.75" customHeight="1" x14ac:dyDescent="0.25">
      <c r="A66" s="21"/>
      <c r="B66" s="27"/>
      <c r="C66" s="25"/>
      <c r="D66" s="25"/>
      <c r="E66" s="25"/>
      <c r="F66" s="25"/>
      <c r="G66" s="25"/>
      <c r="H66" s="25"/>
      <c r="I66" s="25"/>
      <c r="J66" s="25"/>
      <c r="K66" s="21"/>
    </row>
    <row r="67" spans="1:11" ht="15.75" customHeight="1" x14ac:dyDescent="0.25">
      <c r="A67" s="21"/>
      <c r="B67" s="27"/>
      <c r="C67" s="23"/>
      <c r="D67" s="23"/>
      <c r="E67" s="23"/>
      <c r="F67" s="23"/>
      <c r="G67" s="23"/>
      <c r="H67" s="23"/>
      <c r="I67" s="23"/>
      <c r="J67" s="23"/>
      <c r="K67" s="21"/>
    </row>
    <row r="68" spans="1:11" ht="15.75" customHeight="1" x14ac:dyDescent="0.25">
      <c r="A68" s="21"/>
      <c r="B68" s="24"/>
      <c r="C68" s="21"/>
      <c r="D68" s="21"/>
      <c r="E68" s="21"/>
      <c r="F68" s="26"/>
      <c r="G68" s="26"/>
      <c r="H68" s="26"/>
      <c r="I68" s="26"/>
      <c r="J68" s="26"/>
      <c r="K68" s="21"/>
    </row>
    <row r="69" spans="1:11" ht="15.75" customHeight="1" x14ac:dyDescent="0.25">
      <c r="A69" s="21"/>
      <c r="B69" s="22"/>
      <c r="C69" s="25"/>
      <c r="D69" s="25"/>
      <c r="E69" s="25"/>
      <c r="F69" s="25"/>
      <c r="G69" s="25"/>
      <c r="H69" s="25"/>
      <c r="I69" s="25"/>
      <c r="J69" s="25"/>
      <c r="K69" s="21"/>
    </row>
    <row r="70" spans="1:11" ht="15.75" customHeight="1" x14ac:dyDescent="0.25">
      <c r="A70" s="21"/>
      <c r="B70" s="24"/>
      <c r="C70" s="23"/>
      <c r="D70" s="23"/>
      <c r="E70" s="23"/>
      <c r="F70" s="23"/>
      <c r="G70" s="23"/>
      <c r="H70" s="23"/>
      <c r="I70" s="23"/>
      <c r="J70" s="23"/>
      <c r="K70" s="21"/>
    </row>
    <row r="71" spans="1:11" ht="15.75" customHeight="1" x14ac:dyDescent="0.25">
      <c r="A71" s="21"/>
      <c r="B71" s="22"/>
      <c r="C71" s="25"/>
      <c r="D71" s="25"/>
      <c r="E71" s="25"/>
      <c r="F71" s="25"/>
      <c r="G71" s="25"/>
      <c r="H71" s="25"/>
      <c r="I71" s="25"/>
      <c r="J71" s="25"/>
      <c r="K71" s="21"/>
    </row>
    <row r="72" spans="1:11" ht="15.75" customHeight="1" x14ac:dyDescent="0.25">
      <c r="A72" s="21"/>
      <c r="B72" s="24"/>
      <c r="C72" s="23"/>
      <c r="D72" s="23"/>
      <c r="E72" s="23"/>
      <c r="F72" s="23"/>
      <c r="G72" s="23"/>
      <c r="H72" s="23"/>
      <c r="I72" s="23"/>
      <c r="J72" s="23"/>
      <c r="K72" s="21"/>
    </row>
    <row r="73" spans="1:11" ht="15.75" customHeight="1" x14ac:dyDescent="0.25">
      <c r="A73" s="21"/>
      <c r="B73" s="24"/>
      <c r="C73" s="23"/>
      <c r="D73" s="23"/>
      <c r="E73" s="23"/>
      <c r="F73" s="23"/>
      <c r="G73" s="23"/>
      <c r="H73" s="23"/>
      <c r="I73" s="23"/>
      <c r="J73" s="23"/>
      <c r="K73" s="21"/>
    </row>
    <row r="74" spans="1:11" ht="15.75" customHeight="1" x14ac:dyDescent="0.25">
      <c r="A74" s="21"/>
      <c r="B74" s="24"/>
      <c r="C74" s="21"/>
      <c r="D74" s="23"/>
      <c r="E74" s="23"/>
      <c r="F74" s="23"/>
      <c r="G74" s="23"/>
      <c r="H74" s="23"/>
      <c r="I74" s="23"/>
      <c r="J74" s="23"/>
      <c r="K74" s="21"/>
    </row>
    <row r="75" spans="1:11" ht="15.75" customHeight="1" x14ac:dyDescent="0.25">
      <c r="A75" s="21"/>
      <c r="B75" s="24"/>
      <c r="C75" s="21"/>
      <c r="D75" s="21"/>
      <c r="E75" s="21"/>
      <c r="F75" s="26"/>
      <c r="G75" s="26"/>
      <c r="H75" s="26"/>
      <c r="I75" s="26"/>
      <c r="J75" s="26"/>
      <c r="K75" s="21"/>
    </row>
    <row r="76" spans="1:11" ht="15.75" customHeight="1" x14ac:dyDescent="0.25">
      <c r="A76" s="21"/>
      <c r="B76" s="22"/>
      <c r="C76" s="21"/>
      <c r="D76" s="25"/>
      <c r="E76" s="25"/>
      <c r="F76" s="25"/>
      <c r="G76" s="25"/>
      <c r="H76" s="25"/>
      <c r="I76" s="25"/>
      <c r="J76" s="25"/>
      <c r="K76" s="21"/>
    </row>
    <row r="77" spans="1:11" ht="15.75" customHeight="1" x14ac:dyDescent="0.25">
      <c r="A77" s="21"/>
      <c r="B77" s="24"/>
      <c r="C77" s="21"/>
      <c r="D77" s="28"/>
      <c r="E77" s="28"/>
      <c r="F77" s="28"/>
      <c r="G77" s="28"/>
      <c r="H77" s="28"/>
      <c r="I77" s="28"/>
      <c r="J77" s="28"/>
      <c r="K77" s="21"/>
    </row>
    <row r="78" spans="1:11" ht="15.75" customHeight="1" x14ac:dyDescent="0.25">
      <c r="A78" s="21"/>
      <c r="B78" s="24"/>
      <c r="C78" s="21"/>
      <c r="D78" s="21"/>
      <c r="E78" s="21"/>
      <c r="F78" s="29"/>
      <c r="G78" s="29"/>
      <c r="H78" s="29"/>
      <c r="I78" s="29"/>
      <c r="J78" s="29"/>
      <c r="K78" s="21"/>
    </row>
    <row r="79" spans="1:11" ht="15.75" customHeight="1" x14ac:dyDescent="0.25">
      <c r="A79" s="21"/>
      <c r="B79" s="24"/>
      <c r="C79" s="21"/>
      <c r="D79" s="21"/>
      <c r="E79" s="21"/>
      <c r="F79" s="29"/>
      <c r="G79" s="29"/>
      <c r="H79" s="29"/>
      <c r="I79" s="29"/>
      <c r="J79" s="29"/>
      <c r="K79" s="21"/>
    </row>
    <row r="80" spans="1:11" ht="15.75" customHeight="1" x14ac:dyDescent="0.25">
      <c r="A80" s="21"/>
      <c r="B80" s="22"/>
      <c r="C80" s="21"/>
      <c r="D80" s="21"/>
      <c r="E80" s="21"/>
      <c r="F80" s="30"/>
      <c r="G80" s="30"/>
      <c r="H80" s="30"/>
      <c r="I80" s="30"/>
      <c r="J80" s="30"/>
      <c r="K80" s="21"/>
    </row>
    <row r="81" spans="1:11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5.75" customHeight="1" x14ac:dyDescent="0.25"/>
    <row r="83" spans="1:11" ht="15.75" customHeight="1" x14ac:dyDescent="0.25"/>
    <row r="84" spans="1:11" ht="15.75" customHeight="1" x14ac:dyDescent="0.25"/>
    <row r="85" spans="1:11" ht="15.75" customHeight="1" x14ac:dyDescent="0.25"/>
    <row r="86" spans="1:11" ht="15.75" customHeight="1" x14ac:dyDescent="0.25"/>
    <row r="87" spans="1:11" ht="15.75" customHeight="1" x14ac:dyDescent="0.25"/>
    <row r="88" spans="1:11" ht="15.75" customHeight="1" x14ac:dyDescent="0.25"/>
    <row r="89" spans="1:11" ht="15.75" customHeight="1" x14ac:dyDescent="0.25"/>
    <row r="90" spans="1:11" ht="15.75" customHeight="1" x14ac:dyDescent="0.25"/>
    <row r="91" spans="1:11" ht="15.75" customHeight="1" x14ac:dyDescent="0.25"/>
    <row r="92" spans="1:11" ht="15.75" customHeight="1" x14ac:dyDescent="0.25"/>
    <row r="93" spans="1:11" ht="15.75" customHeight="1" x14ac:dyDescent="0.25"/>
    <row r="94" spans="1:11" ht="15.75" customHeight="1" x14ac:dyDescent="0.25"/>
    <row r="95" spans="1:11" ht="15.75" customHeight="1" x14ac:dyDescent="0.25"/>
    <row r="96" spans="1:1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N16:P16"/>
    <mergeCell ref="C5:K5"/>
    <mergeCell ref="N33:O33"/>
    <mergeCell ref="R8:T8"/>
    <mergeCell ref="R16:T16"/>
    <mergeCell ref="N8:P8"/>
  </mergeCells>
  <pageMargins left="0.7" right="0.7" top="0.75" bottom="0.75" header="0" footer="0"/>
  <pageSetup orientation="landscape" r:id="rId1"/>
  <ignoredErrors>
    <ignoredError sqref="F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5A8F-E22A-45BD-88BB-4D4BD64999E8}">
  <dimension ref="A2:K53"/>
  <sheetViews>
    <sheetView showGridLines="0" topLeftCell="A19" zoomScale="80" zoomScaleNormal="80" workbookViewId="0">
      <selection activeCell="F13" sqref="F13"/>
    </sheetView>
  </sheetViews>
  <sheetFormatPr defaultColWidth="8.85546875" defaultRowHeight="15.75" x14ac:dyDescent="0.25"/>
  <cols>
    <col min="1" max="1" width="2.140625" style="35" customWidth="1"/>
    <col min="2" max="2" width="40.42578125" style="35" bestFit="1" customWidth="1"/>
    <col min="3" max="11" width="15.7109375" style="35" bestFit="1" customWidth="1"/>
    <col min="12" max="16384" width="8.85546875" style="35"/>
  </cols>
  <sheetData>
    <row r="2" spans="1:11" x14ac:dyDescent="0.25">
      <c r="B2" s="102" t="s">
        <v>66</v>
      </c>
      <c r="C2" s="99"/>
      <c r="D2" s="99"/>
    </row>
    <row r="3" spans="1:11" x14ac:dyDescent="0.25">
      <c r="B3" s="119" t="s">
        <v>68</v>
      </c>
      <c r="C3" s="99"/>
      <c r="D3" s="99"/>
    </row>
    <row r="4" spans="1:11" x14ac:dyDescent="0.25">
      <c r="B4" s="106" t="s">
        <v>9</v>
      </c>
      <c r="C4" s="120" t="str">
        <f>Assumptions!C3</f>
        <v>Base</v>
      </c>
      <c r="D4" s="120"/>
    </row>
    <row r="6" spans="1:11" ht="18" x14ac:dyDescent="0.4">
      <c r="A6" s="35" t="s">
        <v>34</v>
      </c>
      <c r="B6" s="98" t="s">
        <v>10</v>
      </c>
      <c r="C6" s="214" t="s">
        <v>11</v>
      </c>
      <c r="D6" s="214"/>
      <c r="E6" s="214"/>
      <c r="F6" s="215" t="s">
        <v>12</v>
      </c>
      <c r="G6" s="215"/>
      <c r="H6" s="215"/>
      <c r="I6" s="215"/>
      <c r="J6" s="215"/>
      <c r="K6" s="215"/>
    </row>
    <row r="7" spans="1:11" x14ac:dyDescent="0.25">
      <c r="B7" s="99"/>
      <c r="C7" s="100">
        <v>44227</v>
      </c>
      <c r="D7" s="100">
        <f>EOMONTH(C7,12)</f>
        <v>44592</v>
      </c>
      <c r="E7" s="100">
        <f t="shared" ref="E7:K7" si="0">EOMONTH(D7,12)</f>
        <v>44957</v>
      </c>
      <c r="F7" s="101">
        <f t="shared" si="0"/>
        <v>45322</v>
      </c>
      <c r="G7" s="101">
        <f t="shared" si="0"/>
        <v>45688</v>
      </c>
      <c r="H7" s="101">
        <f t="shared" si="0"/>
        <v>46053</v>
      </c>
      <c r="I7" s="101">
        <f t="shared" si="0"/>
        <v>46418</v>
      </c>
      <c r="J7" s="101">
        <f t="shared" si="0"/>
        <v>46783</v>
      </c>
      <c r="K7" s="101">
        <f t="shared" si="0"/>
        <v>47149</v>
      </c>
    </row>
    <row r="8" spans="1:11" s="53" customFormat="1" x14ac:dyDescent="0.25">
      <c r="B8" s="102" t="s">
        <v>159</v>
      </c>
      <c r="C8" s="103"/>
      <c r="D8" s="103"/>
      <c r="E8" s="103"/>
      <c r="F8" s="104"/>
      <c r="G8" s="104"/>
      <c r="H8" s="104"/>
      <c r="I8" s="104"/>
      <c r="J8" s="104"/>
      <c r="K8" s="105"/>
    </row>
    <row r="9" spans="1:11" x14ac:dyDescent="0.25">
      <c r="B9" s="81" t="s">
        <v>85</v>
      </c>
      <c r="C9" s="46">
        <v>1179486</v>
      </c>
      <c r="D9" s="46">
        <v>1483976</v>
      </c>
      <c r="E9" s="46">
        <v>1733002</v>
      </c>
      <c r="F9" s="117">
        <f ca="1">Assumptions!F9</f>
        <v>1888972.1800000002</v>
      </c>
      <c r="G9" s="117">
        <f ca="1">Assumptions!G9</f>
        <v>2304546.0596000003</v>
      </c>
      <c r="H9" s="117">
        <f ca="1">Assumptions!H9</f>
        <v>2765455.2715200004</v>
      </c>
      <c r="I9" s="117">
        <f ca="1">Assumptions!I9</f>
        <v>3290891.7731088004</v>
      </c>
      <c r="J9" s="117">
        <f ca="1">Assumptions!J9</f>
        <v>3883252.2922683842</v>
      </c>
      <c r="K9" s="117">
        <f ca="1">Assumptions!K9</f>
        <v>4543405.1819540095</v>
      </c>
    </row>
    <row r="10" spans="1:11" x14ac:dyDescent="0.25">
      <c r="B10" s="81" t="s">
        <v>86</v>
      </c>
      <c r="C10" s="46">
        <v>285583</v>
      </c>
      <c r="D10" s="46">
        <v>366801</v>
      </c>
      <c r="E10" s="46">
        <v>422058</v>
      </c>
      <c r="F10" s="117">
        <f>Assumptions!F22</f>
        <v>485639.23043830309</v>
      </c>
      <c r="G10" s="117">
        <f ca="1">Assumptions!G22</f>
        <v>534203.15348213341</v>
      </c>
      <c r="H10" s="117">
        <f ca="1">Assumptions!H22</f>
        <v>651727.84724820277</v>
      </c>
      <c r="I10" s="117">
        <f ca="1">Assumptions!I22</f>
        <v>782073.41669784335</v>
      </c>
      <c r="J10" s="117">
        <f ca="1">Assumptions!J22</f>
        <v>930667.36587043351</v>
      </c>
      <c r="K10" s="117">
        <f ca="1">Assumptions!K22</f>
        <v>1098187.4917271114</v>
      </c>
    </row>
    <row r="11" spans="1:11" x14ac:dyDescent="0.25">
      <c r="B11" s="34" t="s">
        <v>69</v>
      </c>
      <c r="C11" s="92">
        <f t="shared" ref="C11:K11" si="1">SUM(C10,C9)</f>
        <v>1465069</v>
      </c>
      <c r="D11" s="92">
        <f t="shared" si="1"/>
        <v>1850777</v>
      </c>
      <c r="E11" s="92">
        <f t="shared" si="1"/>
        <v>2155060</v>
      </c>
      <c r="F11" s="92">
        <f t="shared" ca="1" si="1"/>
        <v>2374611.4104383034</v>
      </c>
      <c r="G11" s="92">
        <f t="shared" ca="1" si="1"/>
        <v>2838749.2130821338</v>
      </c>
      <c r="H11" s="92">
        <f t="shared" ca="1" si="1"/>
        <v>3417183.1187682031</v>
      </c>
      <c r="I11" s="92">
        <f t="shared" ca="1" si="1"/>
        <v>4072965.1898066439</v>
      </c>
      <c r="J11" s="92">
        <f t="shared" ca="1" si="1"/>
        <v>4813919.6581388181</v>
      </c>
      <c r="K11" s="92">
        <f t="shared" ca="1" si="1"/>
        <v>5641592.6736811213</v>
      </c>
    </row>
    <row r="12" spans="1:11" x14ac:dyDescent="0.25">
      <c r="B12" s="83" t="s">
        <v>15</v>
      </c>
      <c r="C12" s="89"/>
      <c r="D12" s="56">
        <f>D11/C11 -1</f>
        <v>0.26326951153836431</v>
      </c>
      <c r="E12" s="56">
        <f t="shared" ref="E12:K12" si="2">E11/D11 -1</f>
        <v>0.16440824583404701</v>
      </c>
      <c r="F12" s="56">
        <f t="shared" ca="1" si="2"/>
        <v>0.10187716835647431</v>
      </c>
      <c r="G12" s="56">
        <f t="shared" ca="1" si="2"/>
        <v>0.19545842347239462</v>
      </c>
      <c r="H12" s="56">
        <f t="shared" ca="1" si="2"/>
        <v>0.20376365161825705</v>
      </c>
      <c r="I12" s="56">
        <f t="shared" ca="1" si="2"/>
        <v>0.19190720785101845</v>
      </c>
      <c r="J12" s="56">
        <f t="shared" ca="1" si="2"/>
        <v>0.18192015737982525</v>
      </c>
      <c r="K12" s="56">
        <f t="shared" ca="1" si="2"/>
        <v>0.1719332839597707</v>
      </c>
    </row>
    <row r="13" spans="1:11" s="53" customFormat="1" x14ac:dyDescent="0.25">
      <c r="B13" s="81" t="s">
        <v>155</v>
      </c>
      <c r="C13" s="46">
        <v>-184589</v>
      </c>
      <c r="D13" s="46">
        <v>-224911</v>
      </c>
      <c r="E13" s="46">
        <v>-257635</v>
      </c>
      <c r="F13" s="117">
        <f ca="1">Assumptions!F15</f>
        <v>-285234.79918000003</v>
      </c>
      <c r="G13" s="117">
        <f ca="1">Assumptions!G15</f>
        <v>-342225.08985060005</v>
      </c>
      <c r="H13" s="117">
        <f ca="1">Assumptions!H15</f>
        <v>-355361.00239032006</v>
      </c>
      <c r="I13" s="117">
        <f ca="1">Assumptions!I15</f>
        <v>-406425.13397893682</v>
      </c>
      <c r="J13" s="117">
        <f ca="1">Assumptions!J15</f>
        <v>-467931.90121834027</v>
      </c>
      <c r="K13" s="117">
        <f ca="1">Assumptions!K15</f>
        <v>-533850.10887959611</v>
      </c>
    </row>
    <row r="14" spans="1:11" x14ac:dyDescent="0.25">
      <c r="B14" s="81" t="s">
        <v>156</v>
      </c>
      <c r="C14" s="46">
        <v>-224339</v>
      </c>
      <c r="D14" s="46">
        <v>-278767</v>
      </c>
      <c r="E14" s="46">
        <v>-351770</v>
      </c>
      <c r="F14" s="117">
        <f ca="1">Assumptions!F28</f>
        <v>-378798.59974187642</v>
      </c>
      <c r="G14" s="117">
        <f ca="1">Assumptions!G28</f>
        <v>-400652.36511160003</v>
      </c>
      <c r="H14" s="117">
        <f ca="1">Assumptions!H28</f>
        <v>-475761.328491188</v>
      </c>
      <c r="I14" s="117">
        <f ca="1">Assumptions!I28</f>
        <v>-555272.1258554688</v>
      </c>
      <c r="J14" s="117">
        <f ca="1">Assumptions!J28</f>
        <v>-642160.48245059908</v>
      </c>
      <c r="K14" s="117">
        <f ca="1">Assumptions!K28</f>
        <v>-735785.61945716455</v>
      </c>
    </row>
    <row r="15" spans="1:11" x14ac:dyDescent="0.25">
      <c r="B15" s="107" t="s">
        <v>160</v>
      </c>
      <c r="C15" s="108">
        <f>SUM(C13:C14)</f>
        <v>-408928</v>
      </c>
      <c r="D15" s="108">
        <f t="shared" ref="D15:K15" si="3">SUM(D13:D14)</f>
        <v>-503678</v>
      </c>
      <c r="E15" s="108">
        <f t="shared" si="3"/>
        <v>-609405</v>
      </c>
      <c r="F15" s="108">
        <f t="shared" ca="1" si="3"/>
        <v>-664033.39892187645</v>
      </c>
      <c r="G15" s="108">
        <f t="shared" ca="1" si="3"/>
        <v>-742877.45496220002</v>
      </c>
      <c r="H15" s="108">
        <f t="shared" ca="1" si="3"/>
        <v>-831122.33088150807</v>
      </c>
      <c r="I15" s="108">
        <f t="shared" ca="1" si="3"/>
        <v>-961697.25983440562</v>
      </c>
      <c r="J15" s="108">
        <f t="shared" ca="1" si="3"/>
        <v>-1110092.3836689394</v>
      </c>
      <c r="K15" s="108">
        <f t="shared" ca="1" si="3"/>
        <v>-1269635.7283367608</v>
      </c>
    </row>
    <row r="16" spans="1:11" s="53" customFormat="1" x14ac:dyDescent="0.25">
      <c r="B16" s="34" t="s">
        <v>74</v>
      </c>
      <c r="C16" s="91">
        <f t="shared" ref="C16:K16" si="4">SUM(C15,C11)</f>
        <v>1056141</v>
      </c>
      <c r="D16" s="91">
        <f t="shared" si="4"/>
        <v>1347099</v>
      </c>
      <c r="E16" s="91">
        <f t="shared" si="4"/>
        <v>1545655</v>
      </c>
      <c r="F16" s="91">
        <f t="shared" ca="1" si="4"/>
        <v>1710578.0115164269</v>
      </c>
      <c r="G16" s="91">
        <f t="shared" ca="1" si="4"/>
        <v>2095871.7581199338</v>
      </c>
      <c r="H16" s="91">
        <f t="shared" ca="1" si="4"/>
        <v>2586060.787886695</v>
      </c>
      <c r="I16" s="91">
        <f t="shared" ca="1" si="4"/>
        <v>3111267.9299722384</v>
      </c>
      <c r="J16" s="91">
        <f t="shared" ca="1" si="4"/>
        <v>3703827.2744698785</v>
      </c>
      <c r="K16" s="91">
        <f t="shared" ca="1" si="4"/>
        <v>4371956.9453443605</v>
      </c>
    </row>
    <row r="17" spans="2:11" s="53" customFormat="1" x14ac:dyDescent="0.25">
      <c r="B17" s="83" t="s">
        <v>17</v>
      </c>
      <c r="C17" s="56">
        <f t="shared" ref="C17:K17" si="5">C16/C11</f>
        <v>0.72088140558567548</v>
      </c>
      <c r="D17" s="56">
        <f t="shared" si="5"/>
        <v>0.72785592213432515</v>
      </c>
      <c r="E17" s="56">
        <f t="shared" si="5"/>
        <v>0.71722133026458657</v>
      </c>
      <c r="F17" s="56">
        <f t="shared" ca="1" si="5"/>
        <v>0.72036123636780225</v>
      </c>
      <c r="G17" s="56">
        <f t="shared" ca="1" si="5"/>
        <v>0.73830817758091749</v>
      </c>
      <c r="H17" s="56">
        <f t="shared" ca="1" si="5"/>
        <v>0.75678144776124734</v>
      </c>
      <c r="I17" s="56">
        <f t="shared" ca="1" si="5"/>
        <v>0.76388276967325119</v>
      </c>
      <c r="J17" s="56">
        <f t="shared" ca="1" si="5"/>
        <v>0.76939947849106205</v>
      </c>
      <c r="K17" s="56">
        <f t="shared" ca="1" si="5"/>
        <v>0.77495083360771466</v>
      </c>
    </row>
    <row r="18" spans="2:11" s="53" customFormat="1" x14ac:dyDescent="0.25">
      <c r="B18" s="21" t="s">
        <v>157</v>
      </c>
      <c r="C18" s="90">
        <v>-294220</v>
      </c>
      <c r="D18" s="90">
        <v>-382035</v>
      </c>
      <c r="E18" s="90">
        <v>-520278</v>
      </c>
      <c r="F18" s="117">
        <f ca="1">Assumptions!F47</f>
        <v>-474922.28208766069</v>
      </c>
      <c r="G18" s="117">
        <f ca="1">Assumptions!G47</f>
        <v>-539362.35048560542</v>
      </c>
      <c r="H18" s="117">
        <f ca="1">Assumptions!H47</f>
        <v>-632178.87697211758</v>
      </c>
      <c r="I18" s="117">
        <f ca="1">Assumptions!I47</f>
        <v>-733133.73416519584</v>
      </c>
      <c r="J18" s="117">
        <f ca="1">Assumptions!J47</f>
        <v>-842435.94017429312</v>
      </c>
      <c r="K18" s="117">
        <f ca="1">Assumptions!K47</f>
        <v>-959070.75452579057</v>
      </c>
    </row>
    <row r="19" spans="2:11" s="53" customFormat="1" x14ac:dyDescent="0.25">
      <c r="B19" s="21" t="s">
        <v>162</v>
      </c>
      <c r="C19" s="90">
        <v>-235014</v>
      </c>
      <c r="D19" s="90">
        <v>-288061</v>
      </c>
      <c r="E19" s="90">
        <v>-348691</v>
      </c>
      <c r="F19" s="117">
        <f ca="1">Assumptions!F41</f>
        <v>-368064.76861793699</v>
      </c>
      <c r="G19" s="117">
        <f ca="1">Assumptions!G41</f>
        <v>-431489.88038848434</v>
      </c>
      <c r="H19" s="117">
        <f ca="1">Assumptions!H41</f>
        <v>-509160.28469646221</v>
      </c>
      <c r="I19" s="117">
        <f ca="1">Assumptions!I41</f>
        <v>-594652.91771176993</v>
      </c>
      <c r="J19" s="117">
        <f ca="1">Assumptions!J41</f>
        <v>-688390.51111385098</v>
      </c>
      <c r="K19" s="117">
        <f ca="1">Assumptions!K41</f>
        <v>-789822.97431535693</v>
      </c>
    </row>
    <row r="20" spans="2:11" s="53" customFormat="1" x14ac:dyDescent="0.25">
      <c r="B20" s="21" t="s">
        <v>163</v>
      </c>
      <c r="C20" s="90">
        <v>-149113</v>
      </c>
      <c r="D20" s="90">
        <v>-171507</v>
      </c>
      <c r="E20" s="90">
        <v>-217595</v>
      </c>
      <c r="F20" s="117">
        <f ca="1">Assumptions!F35</f>
        <v>-237461.14104383034</v>
      </c>
      <c r="G20" s="117">
        <f ca="1">Assumptions!G35</f>
        <v>-276778.04827550804</v>
      </c>
      <c r="H20" s="117">
        <f ca="1">Assumptions!H35</f>
        <v>-324632.39628297929</v>
      </c>
      <c r="I20" s="117">
        <f ca="1">Assumptions!I35</f>
        <v>-376749.28005711455</v>
      </c>
      <c r="J20" s="117">
        <f ca="1">Assumptions!J35</f>
        <v>-433252.76923249359</v>
      </c>
      <c r="K20" s="117">
        <f ca="1">Assumptions!K35</f>
        <v>-493639.35894709808</v>
      </c>
    </row>
    <row r="21" spans="2:11" x14ac:dyDescent="0.25">
      <c r="B21" s="107" t="s">
        <v>164</v>
      </c>
      <c r="C21" s="109">
        <f t="shared" ref="C21:K21" si="6">SUM(C18:C20,C15)</f>
        <v>-1087275</v>
      </c>
      <c r="D21" s="109">
        <f t="shared" si="6"/>
        <v>-1345281</v>
      </c>
      <c r="E21" s="109">
        <f t="shared" si="6"/>
        <v>-1695969</v>
      </c>
      <c r="F21" s="109">
        <f t="shared" ca="1" si="6"/>
        <v>-1744481.5906713046</v>
      </c>
      <c r="G21" s="109">
        <f t="shared" ca="1" si="6"/>
        <v>-1990507.7341117978</v>
      </c>
      <c r="H21" s="109">
        <f t="shared" ca="1" si="6"/>
        <v>-2297093.8888330674</v>
      </c>
      <c r="I21" s="109">
        <f t="shared" ca="1" si="6"/>
        <v>-2666233.1917684861</v>
      </c>
      <c r="J21" s="109">
        <f t="shared" ca="1" si="6"/>
        <v>-3074171.604189577</v>
      </c>
      <c r="K21" s="109">
        <f t="shared" ca="1" si="6"/>
        <v>-3512168.8161250064</v>
      </c>
    </row>
    <row r="23" spans="2:11" x14ac:dyDescent="0.25">
      <c r="B23" s="34" t="s">
        <v>75</v>
      </c>
      <c r="C23" s="109">
        <f t="shared" ref="C23:K23" si="7">C11+C21</f>
        <v>377794</v>
      </c>
      <c r="D23" s="109">
        <f t="shared" si="7"/>
        <v>505496</v>
      </c>
      <c r="E23" s="109">
        <f t="shared" si="7"/>
        <v>459091</v>
      </c>
      <c r="F23" s="109">
        <f t="shared" ca="1" si="7"/>
        <v>630129.81976699876</v>
      </c>
      <c r="G23" s="109">
        <f t="shared" ca="1" si="7"/>
        <v>848241.47897033603</v>
      </c>
      <c r="H23" s="109">
        <f t="shared" ca="1" si="7"/>
        <v>1120089.2299351357</v>
      </c>
      <c r="I23" s="109">
        <f t="shared" ca="1" si="7"/>
        <v>1406731.9980381578</v>
      </c>
      <c r="J23" s="109">
        <f t="shared" ca="1" si="7"/>
        <v>1739748.0539492411</v>
      </c>
      <c r="K23" s="109">
        <f t="shared" ca="1" si="7"/>
        <v>2129423.8575561149</v>
      </c>
    </row>
    <row r="24" spans="2:11" x14ac:dyDescent="0.25">
      <c r="B24" s="83" t="s">
        <v>17</v>
      </c>
      <c r="C24" s="56">
        <f t="shared" ref="C24:K24" si="8">C23/C11</f>
        <v>0.25786771817573095</v>
      </c>
      <c r="D24" s="56">
        <f t="shared" si="8"/>
        <v>0.27312636800651835</v>
      </c>
      <c r="E24" s="56">
        <f t="shared" si="8"/>
        <v>0.21302933561014542</v>
      </c>
      <c r="F24" s="56">
        <f t="shared" ca="1" si="8"/>
        <v>0.26536123636780218</v>
      </c>
      <c r="G24" s="56">
        <f t="shared" ca="1" si="8"/>
        <v>0.29880817758091749</v>
      </c>
      <c r="H24" s="56">
        <f t="shared" ca="1" si="8"/>
        <v>0.32778144776124724</v>
      </c>
      <c r="I24" s="56">
        <f t="shared" ca="1" si="8"/>
        <v>0.34538276967325116</v>
      </c>
      <c r="J24" s="56">
        <f t="shared" ca="1" si="8"/>
        <v>0.36139947849106213</v>
      </c>
      <c r="K24" s="56">
        <f t="shared" ca="1" si="8"/>
        <v>0.37745083360771464</v>
      </c>
    </row>
    <row r="25" spans="2:11" x14ac:dyDescent="0.25">
      <c r="B25" s="81" t="s">
        <v>168</v>
      </c>
      <c r="C25" s="90">
        <v>16199</v>
      </c>
      <c r="D25" s="90">
        <v>6815</v>
      </c>
      <c r="E25" s="90">
        <v>50005</v>
      </c>
      <c r="F25" s="112">
        <f>AVERAGE(C25:E25)</f>
        <v>24339.666666666668</v>
      </c>
      <c r="G25" s="112">
        <f>F25</f>
        <v>24339.666666666668</v>
      </c>
      <c r="H25" s="112">
        <f t="shared" ref="H25:K25" si="9">G25</f>
        <v>24339.666666666668</v>
      </c>
      <c r="I25" s="112">
        <f t="shared" si="9"/>
        <v>24339.666666666668</v>
      </c>
      <c r="J25" s="112">
        <f t="shared" si="9"/>
        <v>24339.666666666668</v>
      </c>
      <c r="K25" s="112">
        <f t="shared" si="9"/>
        <v>24339.666666666668</v>
      </c>
    </row>
    <row r="26" spans="2:11" s="53" customFormat="1" x14ac:dyDescent="0.25">
      <c r="B26" s="107" t="s">
        <v>169</v>
      </c>
      <c r="C26" s="92">
        <f t="shared" ref="C26:K26" si="10">C23+C25</f>
        <v>393993</v>
      </c>
      <c r="D26" s="92">
        <f t="shared" si="10"/>
        <v>512311</v>
      </c>
      <c r="E26" s="92">
        <f t="shared" si="10"/>
        <v>509096</v>
      </c>
      <c r="F26" s="92">
        <f t="shared" ca="1" si="10"/>
        <v>654469.48643366538</v>
      </c>
      <c r="G26" s="92">
        <f t="shared" ca="1" si="10"/>
        <v>872581.14563700266</v>
      </c>
      <c r="H26" s="92">
        <f t="shared" ca="1" si="10"/>
        <v>1144428.8966018024</v>
      </c>
      <c r="I26" s="92">
        <f t="shared" ca="1" si="10"/>
        <v>1431071.6647048246</v>
      </c>
      <c r="J26" s="92">
        <f t="shared" ca="1" si="10"/>
        <v>1764087.7206159078</v>
      </c>
      <c r="K26" s="92">
        <f t="shared" ca="1" si="10"/>
        <v>2153763.5242227814</v>
      </c>
    </row>
    <row r="27" spans="2:11" x14ac:dyDescent="0.25">
      <c r="B27" s="81" t="s">
        <v>41</v>
      </c>
      <c r="C27" s="97">
        <v>-13995</v>
      </c>
      <c r="D27" s="97">
        <v>-84921</v>
      </c>
      <c r="E27" s="97">
        <v>-21390</v>
      </c>
      <c r="F27" s="117">
        <f ca="1">Assumptions!F105</f>
        <v>-137438.59215106972</v>
      </c>
      <c r="G27" s="117">
        <f ca="1">Assumptions!G105</f>
        <v>-183242.04058377055</v>
      </c>
      <c r="H27" s="117">
        <f ca="1">Assumptions!H105</f>
        <v>-240330.06828637849</v>
      </c>
      <c r="I27" s="117">
        <f ca="1">Assumptions!I105</f>
        <v>-300525.04958801315</v>
      </c>
      <c r="J27" s="117">
        <f ca="1">Assumptions!J105</f>
        <v>-370458.42132934061</v>
      </c>
      <c r="K27" s="117">
        <f ca="1">Assumptions!K105</f>
        <v>-452290.3400867841</v>
      </c>
    </row>
    <row r="28" spans="2:11" x14ac:dyDescent="0.25">
      <c r="B28" s="84" t="s">
        <v>42</v>
      </c>
      <c r="C28" s="56">
        <f>-C27/C26</f>
        <v>3.5520935651141013E-2</v>
      </c>
      <c r="D28" s="56">
        <f t="shared" ref="D28:K28" si="11">-D27/D26</f>
        <v>0.16576064148534778</v>
      </c>
      <c r="E28" s="56">
        <f t="shared" si="11"/>
        <v>4.201565127205871E-2</v>
      </c>
      <c r="F28" s="56">
        <f t="shared" ca="1" si="11"/>
        <v>0.21</v>
      </c>
      <c r="G28" s="56">
        <f t="shared" ca="1" si="11"/>
        <v>0.21</v>
      </c>
      <c r="H28" s="56">
        <f t="shared" ca="1" si="11"/>
        <v>0.21</v>
      </c>
      <c r="I28" s="56">
        <f t="shared" ca="1" si="11"/>
        <v>0.21</v>
      </c>
      <c r="J28" s="56">
        <f t="shared" ca="1" si="11"/>
        <v>0.21</v>
      </c>
      <c r="K28" s="56">
        <f t="shared" ca="1" si="11"/>
        <v>0.21</v>
      </c>
    </row>
    <row r="29" spans="2:11" x14ac:dyDescent="0.25">
      <c r="B29" s="107" t="s">
        <v>170</v>
      </c>
      <c r="C29" s="109">
        <f>SUM(C26,C27)</f>
        <v>379998</v>
      </c>
      <c r="D29" s="109">
        <f t="shared" ref="D29:K29" si="12">SUM(D26,D27)</f>
        <v>427390</v>
      </c>
      <c r="E29" s="109">
        <f t="shared" si="12"/>
        <v>487706</v>
      </c>
      <c r="F29" s="109">
        <f t="shared" ca="1" si="12"/>
        <v>517030.89428259566</v>
      </c>
      <c r="G29" s="109">
        <f t="shared" ca="1" si="12"/>
        <v>689339.10505323205</v>
      </c>
      <c r="H29" s="109">
        <f t="shared" ca="1" si="12"/>
        <v>904098.82831542392</v>
      </c>
      <c r="I29" s="109">
        <f t="shared" ca="1" si="12"/>
        <v>1130546.6151168114</v>
      </c>
      <c r="J29" s="109">
        <f t="shared" ca="1" si="12"/>
        <v>1393629.2992865671</v>
      </c>
      <c r="K29" s="109">
        <f t="shared" ca="1" si="12"/>
        <v>1701473.1841359972</v>
      </c>
    </row>
    <row r="30" spans="2:11" x14ac:dyDescent="0.25">
      <c r="B30" s="34"/>
      <c r="C30" s="63"/>
      <c r="D30" s="63"/>
      <c r="E30" s="63"/>
      <c r="F30" s="63"/>
      <c r="G30" s="63"/>
      <c r="H30" s="63"/>
      <c r="I30" s="63"/>
      <c r="J30" s="63"/>
      <c r="K30" s="63"/>
    </row>
    <row r="31" spans="2:11" s="53" customFormat="1" x14ac:dyDescent="0.25">
      <c r="B31" s="102" t="s">
        <v>171</v>
      </c>
      <c r="C31" s="116"/>
      <c r="D31" s="116"/>
      <c r="E31" s="116"/>
      <c r="F31" s="116"/>
      <c r="G31" s="116"/>
      <c r="H31" s="116"/>
      <c r="I31" s="116"/>
      <c r="J31" s="116"/>
      <c r="K31" s="116"/>
    </row>
    <row r="32" spans="2:11" x14ac:dyDescent="0.25">
      <c r="B32" s="53" t="s">
        <v>172</v>
      </c>
      <c r="C32" s="112">
        <f>C23</f>
        <v>377794</v>
      </c>
      <c r="D32" s="112">
        <f t="shared" ref="D32:K32" si="13">D23</f>
        <v>505496</v>
      </c>
      <c r="E32" s="112">
        <f t="shared" si="13"/>
        <v>459091</v>
      </c>
      <c r="F32" s="112">
        <f t="shared" ca="1" si="13"/>
        <v>630129.81976699876</v>
      </c>
      <c r="G32" s="112">
        <f t="shared" ca="1" si="13"/>
        <v>848241.47897033603</v>
      </c>
      <c r="H32" s="112">
        <f t="shared" ca="1" si="13"/>
        <v>1120089.2299351357</v>
      </c>
      <c r="I32" s="112">
        <f t="shared" ca="1" si="13"/>
        <v>1406731.9980381578</v>
      </c>
      <c r="J32" s="112">
        <f t="shared" ca="1" si="13"/>
        <v>1739748.0539492411</v>
      </c>
      <c r="K32" s="112">
        <f t="shared" ca="1" si="13"/>
        <v>2129423.8575561149</v>
      </c>
    </row>
    <row r="33" spans="2:11" x14ac:dyDescent="0.25">
      <c r="B33" s="81" t="s">
        <v>173</v>
      </c>
      <c r="C33" s="90">
        <v>29500</v>
      </c>
      <c r="D33" s="90">
        <v>27400</v>
      </c>
      <c r="E33" s="90">
        <v>29100</v>
      </c>
      <c r="F33" s="117">
        <f ca="1">+Assumptions!F90</f>
        <v>33719.482028223909</v>
      </c>
      <c r="G33" s="117">
        <f ca="1">+Assumptions!G90</f>
        <v>40310.238825766304</v>
      </c>
      <c r="H33" s="117">
        <f ca="1">+Assumptions!H90</f>
        <v>48524.00028650849</v>
      </c>
      <c r="I33" s="117">
        <f ca="1">+Assumptions!I90</f>
        <v>57836.105695254344</v>
      </c>
      <c r="J33" s="117">
        <f ca="1">+Assumptions!J90</f>
        <v>68357.659145571219</v>
      </c>
      <c r="K33" s="117">
        <f ca="1">+Assumptions!K90</f>
        <v>80110.615966271929</v>
      </c>
    </row>
    <row r="34" spans="2:11" x14ac:dyDescent="0.25">
      <c r="B34" s="81" t="s">
        <v>174</v>
      </c>
      <c r="C34" s="117">
        <f>+Assumptions!C97</f>
        <v>185000</v>
      </c>
      <c r="D34" s="117">
        <f>+Assumptions!D97</f>
        <v>234600</v>
      </c>
      <c r="E34" s="117">
        <f>+Assumptions!E97</f>
        <v>382300</v>
      </c>
      <c r="F34" s="117">
        <f ca="1">+Assumptions!F97</f>
        <v>361178.39552766597</v>
      </c>
      <c r="G34" s="117">
        <f ca="1">+Assumptions!G97</f>
        <v>431773.75530979258</v>
      </c>
      <c r="H34" s="117">
        <f ca="1">+Assumptions!H97</f>
        <v>519753.55236464372</v>
      </c>
      <c r="I34" s="117">
        <f ca="1">+Assumptions!I97</f>
        <v>619498.0053695906</v>
      </c>
      <c r="J34" s="117">
        <f ca="1">+Assumptions!J97</f>
        <v>732197.18000291428</v>
      </c>
      <c r="K34" s="117">
        <f ca="1">+Assumptions!K97</f>
        <v>858086.24566689867</v>
      </c>
    </row>
    <row r="35" spans="2:11" x14ac:dyDescent="0.25">
      <c r="B35" s="107" t="s">
        <v>131</v>
      </c>
      <c r="C35" s="109">
        <f>SUM(C32:C34)</f>
        <v>592294</v>
      </c>
      <c r="D35" s="109">
        <f t="shared" ref="D35:K35" si="14">SUM(D32:D34)</f>
        <v>767496</v>
      </c>
      <c r="E35" s="109">
        <f t="shared" si="14"/>
        <v>870491</v>
      </c>
      <c r="F35" s="109">
        <f t="shared" ca="1" si="14"/>
        <v>1025027.6973228886</v>
      </c>
      <c r="G35" s="109">
        <f t="shared" ca="1" si="14"/>
        <v>1320325.4731058949</v>
      </c>
      <c r="H35" s="109">
        <f t="shared" ca="1" si="14"/>
        <v>1688366.7825862879</v>
      </c>
      <c r="I35" s="109">
        <f t="shared" ca="1" si="14"/>
        <v>2084066.1091030028</v>
      </c>
      <c r="J35" s="109">
        <f t="shared" ca="1" si="14"/>
        <v>2540302.8930977266</v>
      </c>
      <c r="K35" s="109">
        <f t="shared" ca="1" si="14"/>
        <v>3067620.7191892858</v>
      </c>
    </row>
    <row r="36" spans="2:11" s="53" customFormat="1" x14ac:dyDescent="0.25">
      <c r="B36" s="83" t="s">
        <v>17</v>
      </c>
      <c r="C36" s="56">
        <f>C35/C11</f>
        <v>0.40427720469138312</v>
      </c>
      <c r="D36" s="56">
        <f t="shared" ref="D36:K36" si="15">D35/D11</f>
        <v>0.41468853351862489</v>
      </c>
      <c r="E36" s="56">
        <f t="shared" si="15"/>
        <v>0.40392889293105527</v>
      </c>
      <c r="F36" s="56">
        <f t="shared" ca="1" si="15"/>
        <v>0.43166123636780218</v>
      </c>
      <c r="G36" s="56">
        <f t="shared" ca="1" si="15"/>
        <v>0.46510817758091749</v>
      </c>
      <c r="H36" s="56">
        <f t="shared" ca="1" si="15"/>
        <v>0.49408144776124724</v>
      </c>
      <c r="I36" s="56">
        <f t="shared" ca="1" si="15"/>
        <v>0.51168276967325121</v>
      </c>
      <c r="J36" s="56">
        <f t="shared" ca="1" si="15"/>
        <v>0.52769947849106213</v>
      </c>
      <c r="K36" s="56">
        <f t="shared" ca="1" si="15"/>
        <v>0.5437508336077147</v>
      </c>
    </row>
    <row r="37" spans="2:11" x14ac:dyDescent="0.25">
      <c r="C37" s="66"/>
      <c r="D37" s="66"/>
      <c r="E37" s="66"/>
      <c r="F37" s="82"/>
      <c r="G37" s="82"/>
      <c r="H37" s="82"/>
      <c r="I37" s="82"/>
      <c r="J37" s="82"/>
      <c r="K37" s="82"/>
    </row>
    <row r="38" spans="2:11" x14ac:dyDescent="0.25">
      <c r="B38" s="34" t="s">
        <v>76</v>
      </c>
      <c r="C38" s="90">
        <v>-8700</v>
      </c>
      <c r="D38" s="90">
        <v>-14200</v>
      </c>
      <c r="E38" s="90">
        <v>-13500</v>
      </c>
      <c r="F38" s="112">
        <f ca="1">Assumptions!F84</f>
        <v>-14485.129603673649</v>
      </c>
      <c r="G38" s="112">
        <f ca="1">Assumptions!G84</f>
        <v>-15896.995593259946</v>
      </c>
      <c r="H38" s="112">
        <f ca="1">Assumptions!H84</f>
        <v>-17427.63390571783</v>
      </c>
      <c r="I38" s="112">
        <f ca="1">Assumptions!I84</f>
        <v>-18735.639873110555</v>
      </c>
      <c r="J38" s="112">
        <f ca="1">Assumptions!J84</f>
        <v>-19737.070598369144</v>
      </c>
      <c r="K38" s="112">
        <f ca="1">Assumptions!K84</f>
        <v>-20309.733625252025</v>
      </c>
    </row>
    <row r="39" spans="2:11" s="53" customFormat="1" x14ac:dyDescent="0.25">
      <c r="B39" s="34"/>
      <c r="C39" s="85"/>
      <c r="D39" s="85"/>
      <c r="E39" s="85"/>
      <c r="F39" s="85"/>
      <c r="G39" s="85"/>
      <c r="H39" s="85"/>
      <c r="I39" s="85"/>
      <c r="J39" s="85"/>
      <c r="K39" s="85"/>
    </row>
    <row r="40" spans="2:11" x14ac:dyDescent="0.25">
      <c r="B40" s="102" t="s">
        <v>175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2:11" x14ac:dyDescent="0.25">
      <c r="B41" s="81" t="s">
        <v>77</v>
      </c>
      <c r="C41" s="90">
        <v>611600</v>
      </c>
      <c r="D41" s="90">
        <v>694400</v>
      </c>
      <c r="E41" s="90">
        <v>785200</v>
      </c>
      <c r="F41" s="117">
        <f ca="1">Assumptions!F54</f>
        <v>865269.36325560091</v>
      </c>
      <c r="G41" s="117">
        <f ca="1">Assumptions!G54</f>
        <v>1034393.5488765036</v>
      </c>
      <c r="H41" s="117">
        <f ca="1">Assumptions!H54</f>
        <v>1245165.355605948</v>
      </c>
      <c r="I41" s="117">
        <f ca="1">Assumptions!I54</f>
        <v>1484121.5623131059</v>
      </c>
      <c r="J41" s="117">
        <f ca="1">Assumptions!J54</f>
        <v>1754113.1904998983</v>
      </c>
      <c r="K41" s="117">
        <f ca="1">Assumptions!K54</f>
        <v>2055703.6317796961</v>
      </c>
    </row>
    <row r="42" spans="2:11" x14ac:dyDescent="0.25">
      <c r="B42" s="81" t="s">
        <v>70</v>
      </c>
      <c r="C42" s="66"/>
      <c r="D42" s="66"/>
      <c r="E42" s="66"/>
      <c r="F42" s="82"/>
      <c r="G42" s="82"/>
      <c r="H42" s="82"/>
      <c r="I42" s="82"/>
      <c r="J42" s="82"/>
      <c r="K42" s="82"/>
    </row>
    <row r="43" spans="2:11" x14ac:dyDescent="0.25">
      <c r="B43" s="81" t="s">
        <v>78</v>
      </c>
      <c r="C43" s="66"/>
      <c r="D43" s="66"/>
      <c r="E43" s="66"/>
      <c r="F43" s="82"/>
      <c r="G43" s="82"/>
      <c r="H43" s="82"/>
      <c r="I43" s="82"/>
      <c r="J43" s="82"/>
      <c r="K43" s="82"/>
    </row>
    <row r="44" spans="2:11" x14ac:dyDescent="0.25">
      <c r="B44" s="81" t="s">
        <v>79</v>
      </c>
      <c r="C44" s="90">
        <v>35200</v>
      </c>
      <c r="D44" s="90">
        <v>36700</v>
      </c>
      <c r="E44" s="90">
        <v>75600</v>
      </c>
      <c r="F44" s="117">
        <f ca="1">Assumptions!F66</f>
        <v>25337.1037493767</v>
      </c>
      <c r="G44" s="117">
        <f ca="1">Assumptions!G66</f>
        <v>29532.217750996708</v>
      </c>
      <c r="H44" s="117">
        <f ca="1">Assumptions!H66</f>
        <v>34638.276683393888</v>
      </c>
      <c r="I44" s="117">
        <f ca="1">Assumptions!I66</f>
        <v>40199.148182094126</v>
      </c>
      <c r="J44" s="117">
        <f ca="1">Assumptions!J66</f>
        <v>46228.070477107067</v>
      </c>
      <c r="K44" s="117">
        <f ca="1">Assumptions!K66</f>
        <v>52671.31959965537</v>
      </c>
    </row>
    <row r="45" spans="2:11" x14ac:dyDescent="0.25">
      <c r="B45" s="34" t="s">
        <v>71</v>
      </c>
      <c r="C45" s="96">
        <f>SUM(C44,C41)</f>
        <v>646800</v>
      </c>
      <c r="D45" s="96">
        <f t="shared" ref="D45:K45" si="16">SUM(D44,D41)</f>
        <v>731100</v>
      </c>
      <c r="E45" s="96">
        <f t="shared" si="16"/>
        <v>860800</v>
      </c>
      <c r="F45" s="96">
        <f t="shared" ca="1" si="16"/>
        <v>890606.46700497763</v>
      </c>
      <c r="G45" s="96">
        <f t="shared" ca="1" si="16"/>
        <v>1063925.7666275003</v>
      </c>
      <c r="H45" s="96">
        <f t="shared" ca="1" si="16"/>
        <v>1279803.6322893419</v>
      </c>
      <c r="I45" s="96">
        <f t="shared" ca="1" si="16"/>
        <v>1524320.7104952</v>
      </c>
      <c r="J45" s="96">
        <f t="shared" ca="1" si="16"/>
        <v>1800341.2609770054</v>
      </c>
      <c r="K45" s="96">
        <f t="shared" ca="1" si="16"/>
        <v>2108374.9513793513</v>
      </c>
    </row>
    <row r="46" spans="2:11" x14ac:dyDescent="0.25">
      <c r="C46" s="66"/>
      <c r="D46" s="66"/>
      <c r="E46" s="66"/>
      <c r="F46" s="82"/>
      <c r="G46" s="82"/>
      <c r="H46" s="82"/>
      <c r="I46" s="82"/>
      <c r="J46" s="82"/>
      <c r="K46" s="82"/>
    </row>
    <row r="47" spans="2:11" x14ac:dyDescent="0.25">
      <c r="B47" s="81" t="s">
        <v>80</v>
      </c>
      <c r="C47" s="90">
        <v>23300</v>
      </c>
      <c r="D47" s="90">
        <v>20300</v>
      </c>
      <c r="E47" s="90">
        <v>41700</v>
      </c>
      <c r="F47" s="82">
        <f ca="1">Assumptions!F60</f>
        <v>36094.308587972679</v>
      </c>
      <c r="G47" s="82">
        <f ca="1">Assumptions!G60</f>
        <v>40379.969058767259</v>
      </c>
      <c r="H47" s="82">
        <f ca="1">Assumptions!H60</f>
        <v>45176.622040244169</v>
      </c>
      <c r="I47" s="82">
        <f ca="1">Assumptions!I60</f>
        <v>52274.174342779748</v>
      </c>
      <c r="J47" s="82">
        <f ca="1">Assumptions!J60</f>
        <v>60340.364087648646</v>
      </c>
      <c r="K47" s="82">
        <f ca="1">Assumptions!K60</f>
        <v>69012.528356715979</v>
      </c>
    </row>
    <row r="48" spans="2:11" x14ac:dyDescent="0.25">
      <c r="B48" s="81" t="s">
        <v>81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2:11" x14ac:dyDescent="0.25">
      <c r="B49" s="81" t="s">
        <v>30</v>
      </c>
      <c r="C49" s="90">
        <v>617000</v>
      </c>
      <c r="D49" s="90">
        <v>731700</v>
      </c>
      <c r="E49" s="90">
        <v>869300</v>
      </c>
      <c r="F49" s="117">
        <f ca="1">Assumptions!F78</f>
        <v>948419.79732905829</v>
      </c>
      <c r="G49" s="117">
        <f ca="1">Assumptions!G78</f>
        <v>1133796.4357050043</v>
      </c>
      <c r="H49" s="117">
        <f ca="1">Assumptions!H78</f>
        <v>1364822.9376360201</v>
      </c>
      <c r="I49" s="117">
        <f ca="1">Assumptions!I78</f>
        <v>1626742.2968087734</v>
      </c>
      <c r="J49" s="117">
        <f ca="1">Assumptions!J78</f>
        <v>1922679.5114606437</v>
      </c>
      <c r="K49" s="117">
        <f ca="1">Assumptions!K78</f>
        <v>2253252.1138682398</v>
      </c>
    </row>
    <row r="50" spans="2:11" x14ac:dyDescent="0.25">
      <c r="B50" s="34" t="s">
        <v>82</v>
      </c>
      <c r="C50" s="86">
        <f>SUM(C49,C47)</f>
        <v>640300</v>
      </c>
      <c r="D50" s="86">
        <f t="shared" ref="D50:K50" si="17">SUM(D49,D47)</f>
        <v>752000</v>
      </c>
      <c r="E50" s="86">
        <f t="shared" si="17"/>
        <v>911000</v>
      </c>
      <c r="F50" s="86">
        <f t="shared" ca="1" si="17"/>
        <v>984514.10591703095</v>
      </c>
      <c r="G50" s="86">
        <f t="shared" ca="1" si="17"/>
        <v>1174176.4047637715</v>
      </c>
      <c r="H50" s="86">
        <f t="shared" ca="1" si="17"/>
        <v>1409999.5596762644</v>
      </c>
      <c r="I50" s="86">
        <f t="shared" ca="1" si="17"/>
        <v>1679016.4711515531</v>
      </c>
      <c r="J50" s="86">
        <f t="shared" ca="1" si="17"/>
        <v>1983019.8755482924</v>
      </c>
      <c r="K50" s="86">
        <f t="shared" ca="1" si="17"/>
        <v>2322264.6422249558</v>
      </c>
    </row>
    <row r="51" spans="2:11" x14ac:dyDescent="0.25">
      <c r="C51" s="87"/>
      <c r="D51" s="87"/>
      <c r="E51" s="87"/>
      <c r="F51" s="87"/>
      <c r="G51" s="87"/>
      <c r="H51" s="87"/>
      <c r="I51" s="87"/>
      <c r="J51" s="87"/>
      <c r="K51" s="87"/>
    </row>
    <row r="52" spans="2:11" x14ac:dyDescent="0.25">
      <c r="B52" s="81" t="s">
        <v>83</v>
      </c>
      <c r="C52" s="60">
        <f>C45-C50</f>
        <v>6500</v>
      </c>
      <c r="D52" s="60">
        <f t="shared" ref="D52:K52" si="18">D45-D50</f>
        <v>-20900</v>
      </c>
      <c r="E52" s="60">
        <f t="shared" si="18"/>
        <v>-50200</v>
      </c>
      <c r="F52" s="60">
        <f t="shared" ca="1" si="18"/>
        <v>-93907.638912053313</v>
      </c>
      <c r="G52" s="60">
        <f t="shared" ca="1" si="18"/>
        <v>-110250.63813627115</v>
      </c>
      <c r="H52" s="60">
        <f t="shared" ca="1" si="18"/>
        <v>-130195.92738692253</v>
      </c>
      <c r="I52" s="60">
        <f t="shared" ca="1" si="18"/>
        <v>-154695.76065635309</v>
      </c>
      <c r="J52" s="60">
        <f t="shared" ca="1" si="18"/>
        <v>-182678.61457128706</v>
      </c>
      <c r="K52" s="60">
        <f t="shared" ca="1" si="18"/>
        <v>-213889.69084560452</v>
      </c>
    </row>
    <row r="53" spans="2:11" x14ac:dyDescent="0.25">
      <c r="B53" s="37" t="s">
        <v>84</v>
      </c>
      <c r="D53" s="86">
        <f>C52-D52</f>
        <v>27400</v>
      </c>
      <c r="E53" s="86">
        <f t="shared" ref="E53:K53" si="19">D52-E52</f>
        <v>29300</v>
      </c>
      <c r="F53" s="86">
        <f t="shared" ca="1" si="19"/>
        <v>43707.638912053313</v>
      </c>
      <c r="G53" s="86">
        <f t="shared" ca="1" si="19"/>
        <v>16342.999224217841</v>
      </c>
      <c r="H53" s="86">
        <f t="shared" ca="1" si="19"/>
        <v>19945.289250651374</v>
      </c>
      <c r="I53" s="86">
        <f t="shared" ca="1" si="19"/>
        <v>24499.833269430557</v>
      </c>
      <c r="J53" s="86">
        <f t="shared" ca="1" si="19"/>
        <v>27982.853914933978</v>
      </c>
      <c r="K53" s="86">
        <f t="shared" ca="1" si="19"/>
        <v>31211.076274317456</v>
      </c>
    </row>
  </sheetData>
  <mergeCells count="2">
    <mergeCell ref="C6:E6"/>
    <mergeCell ref="F6:K6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8"/>
  <sheetViews>
    <sheetView showGridLines="0" zoomScale="90" zoomScaleNormal="90" workbookViewId="0">
      <selection activeCell="M106" sqref="M106"/>
    </sheetView>
  </sheetViews>
  <sheetFormatPr defaultColWidth="14.42578125" defaultRowHeight="15" customHeight="1" x14ac:dyDescent="0.25"/>
  <cols>
    <col min="1" max="1" width="4.42578125" style="35" customWidth="1"/>
    <col min="2" max="2" width="29.85546875" style="35" customWidth="1"/>
    <col min="3" max="5" width="11.28515625" style="35" customWidth="1"/>
    <col min="6" max="6" width="15.28515625" style="35" customWidth="1"/>
    <col min="7" max="11" width="15.28515625" style="35" bestFit="1" customWidth="1"/>
    <col min="12" max="12" width="8.7109375" style="35" customWidth="1"/>
    <col min="13" max="13" width="10.42578125" style="35" bestFit="1" customWidth="1"/>
    <col min="14" max="27" width="8.7109375" style="35" customWidth="1"/>
    <col min="28" max="16384" width="14.42578125" style="35"/>
  </cols>
  <sheetData>
    <row r="1" spans="1:26" ht="15.75" x14ac:dyDescent="0.25">
      <c r="B1" s="34" t="s">
        <v>7</v>
      </c>
    </row>
    <row r="2" spans="1:26" ht="15.75" x14ac:dyDescent="0.25">
      <c r="B2" s="36" t="s">
        <v>8</v>
      </c>
    </row>
    <row r="3" spans="1:26" ht="15.75" x14ac:dyDescent="0.25">
      <c r="B3" s="37" t="s">
        <v>9</v>
      </c>
      <c r="C3" s="38" t="str">
        <f>Master!C8</f>
        <v>Base</v>
      </c>
      <c r="D3" s="38"/>
    </row>
    <row r="4" spans="1:26" ht="15.75" x14ac:dyDescent="0.25">
      <c r="B4" s="34"/>
    </row>
    <row r="5" spans="1:26" ht="15.75" x14ac:dyDescent="0.25">
      <c r="B5" s="36" t="s">
        <v>10</v>
      </c>
      <c r="C5" s="216" t="s">
        <v>11</v>
      </c>
      <c r="D5" s="217"/>
      <c r="E5" s="218"/>
      <c r="F5" s="219" t="s">
        <v>12</v>
      </c>
      <c r="G5" s="217"/>
      <c r="H5" s="217"/>
      <c r="I5" s="217"/>
      <c r="J5" s="217"/>
      <c r="K5" s="218"/>
      <c r="L5" s="34"/>
    </row>
    <row r="6" spans="1:26" ht="15.75" x14ac:dyDescent="0.25">
      <c r="C6" s="39">
        <v>44227</v>
      </c>
      <c r="D6" s="39">
        <f t="shared" ref="D6:K6" si="0">EOMONTH(C6,12)</f>
        <v>44592</v>
      </c>
      <c r="E6" s="39">
        <f t="shared" si="0"/>
        <v>44957</v>
      </c>
      <c r="F6" s="39">
        <f t="shared" si="0"/>
        <v>45322</v>
      </c>
      <c r="G6" s="39">
        <f t="shared" si="0"/>
        <v>45688</v>
      </c>
      <c r="H6" s="39">
        <f t="shared" si="0"/>
        <v>46053</v>
      </c>
      <c r="I6" s="39">
        <f t="shared" si="0"/>
        <v>46418</v>
      </c>
      <c r="J6" s="39">
        <f t="shared" si="0"/>
        <v>46783</v>
      </c>
      <c r="K6" s="39">
        <f t="shared" si="0"/>
        <v>47149</v>
      </c>
    </row>
    <row r="7" spans="1:26" ht="15.75" x14ac:dyDescent="0.25">
      <c r="C7" s="40"/>
      <c r="D7" s="40"/>
      <c r="E7" s="40"/>
      <c r="F7" s="41"/>
      <c r="G7" s="41"/>
      <c r="H7" s="41"/>
      <c r="I7" s="41"/>
      <c r="J7" s="41"/>
      <c r="K7" s="41"/>
    </row>
    <row r="8" spans="1:26" ht="15.75" x14ac:dyDescent="0.25">
      <c r="A8" s="35" t="s">
        <v>34</v>
      </c>
      <c r="B8" s="42" t="s">
        <v>13</v>
      </c>
      <c r="C8" s="43"/>
      <c r="D8" s="43"/>
      <c r="E8" s="43"/>
      <c r="F8" s="44"/>
      <c r="G8" s="44"/>
      <c r="H8" s="44"/>
      <c r="I8" s="44"/>
      <c r="J8" s="44"/>
      <c r="K8" s="44"/>
    </row>
    <row r="9" spans="1:26" ht="15.75" x14ac:dyDescent="0.25">
      <c r="B9" s="45" t="s">
        <v>14</v>
      </c>
      <c r="C9" s="88">
        <f>'Operating Build'!C9</f>
        <v>1179486</v>
      </c>
      <c r="D9" s="88">
        <f>'Operating Build'!D9</f>
        <v>1483976</v>
      </c>
      <c r="E9" s="88">
        <f>'Operating Build'!E9</f>
        <v>1733002</v>
      </c>
      <c r="F9" s="47">
        <f ca="1">E9*(1+F10)</f>
        <v>1888972.1800000002</v>
      </c>
      <c r="G9" s="47">
        <f t="shared" ref="G9:K9" ca="1" si="1">F9*(1+G10)</f>
        <v>2304546.0596000003</v>
      </c>
      <c r="H9" s="47">
        <f t="shared" ca="1" si="1"/>
        <v>2765455.2715200004</v>
      </c>
      <c r="I9" s="47">
        <f t="shared" ca="1" si="1"/>
        <v>3290891.7731088004</v>
      </c>
      <c r="J9" s="47">
        <f t="shared" ca="1" si="1"/>
        <v>3883252.2922683842</v>
      </c>
      <c r="K9" s="47">
        <f t="shared" ca="1" si="1"/>
        <v>4543405.1819540095</v>
      </c>
    </row>
    <row r="10" spans="1:26" ht="15.75" x14ac:dyDescent="0.25">
      <c r="B10" s="48" t="s">
        <v>15</v>
      </c>
      <c r="C10" s="36"/>
      <c r="D10" s="49">
        <f t="shared" ref="D10:E10" si="2">D9/C9 -1</f>
        <v>0.25815482337221463</v>
      </c>
      <c r="E10" s="49">
        <f t="shared" si="2"/>
        <v>0.1678099915362512</v>
      </c>
      <c r="F10" s="50">
        <f ca="1">OFFSET(F10,MATCH($C$3,$B$11:$B$13,0),0)</f>
        <v>0.09</v>
      </c>
      <c r="G10" s="50">
        <f t="shared" ref="G10:K10" ca="1" si="3">OFFSET(G10,MATCH($C$3,$B$11:$B$13,0),0)</f>
        <v>0.22</v>
      </c>
      <c r="H10" s="50">
        <f t="shared" ca="1" si="3"/>
        <v>0.2</v>
      </c>
      <c r="I10" s="50">
        <f t="shared" ca="1" si="3"/>
        <v>0.19</v>
      </c>
      <c r="J10" s="50">
        <f t="shared" ca="1" si="3"/>
        <v>0.18</v>
      </c>
      <c r="K10" s="50">
        <f t="shared" ca="1" si="3"/>
        <v>0.16999999999999998</v>
      </c>
    </row>
    <row r="11" spans="1:26" ht="15.75" x14ac:dyDescent="0.25">
      <c r="B11" s="51" t="s">
        <v>4</v>
      </c>
      <c r="F11" s="52">
        <v>0.09</v>
      </c>
      <c r="G11" s="52">
        <v>0.22</v>
      </c>
      <c r="H11" s="52">
        <f>G11-2%</f>
        <v>0.2</v>
      </c>
      <c r="I11" s="52">
        <f t="shared" ref="I11:K11" si="4">H11-1%</f>
        <v>0.19</v>
      </c>
      <c r="J11" s="52">
        <f t="shared" si="4"/>
        <v>0.18</v>
      </c>
      <c r="K11" s="52">
        <f t="shared" si="4"/>
        <v>0.16999999999999998</v>
      </c>
      <c r="M11" s="220" t="s">
        <v>89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</row>
    <row r="12" spans="1:26" ht="15.75" x14ac:dyDescent="0.25">
      <c r="B12" s="51" t="s">
        <v>67</v>
      </c>
      <c r="F12" s="54">
        <v>0.1</v>
      </c>
      <c r="G12" s="54">
        <f>24%</f>
        <v>0.24</v>
      </c>
      <c r="H12" s="54">
        <f>G12-2%</f>
        <v>0.22</v>
      </c>
      <c r="I12" s="54">
        <f>H12-1%</f>
        <v>0.21</v>
      </c>
      <c r="J12" s="54">
        <f t="shared" ref="J12:K12" si="5">I12-1%</f>
        <v>0.19999999999999998</v>
      </c>
      <c r="K12" s="54">
        <f t="shared" si="5"/>
        <v>0.18999999999999997</v>
      </c>
      <c r="M12" s="35" t="s">
        <v>91</v>
      </c>
      <c r="V12" s="35" t="s">
        <v>92</v>
      </c>
    </row>
    <row r="13" spans="1:26" ht="15.75" x14ac:dyDescent="0.25">
      <c r="B13" s="51" t="s">
        <v>6</v>
      </c>
      <c r="F13" s="54">
        <v>8.7499999999999994E-2</v>
      </c>
      <c r="G13" s="54">
        <f>20%</f>
        <v>0.2</v>
      </c>
      <c r="H13" s="54">
        <f>G13-2%</f>
        <v>0.18000000000000002</v>
      </c>
      <c r="I13" s="54">
        <f>H13-2%</f>
        <v>0.16000000000000003</v>
      </c>
      <c r="J13" s="54">
        <f t="shared" ref="J13:K13" si="6">I13-2%</f>
        <v>0.14000000000000004</v>
      </c>
      <c r="K13" s="54">
        <f t="shared" si="6"/>
        <v>0.12000000000000004</v>
      </c>
      <c r="M13" s="35" t="s">
        <v>146</v>
      </c>
    </row>
    <row r="14" spans="1:26" ht="15.75" x14ac:dyDescent="0.25"/>
    <row r="15" spans="1:26" ht="15.75" x14ac:dyDescent="0.25">
      <c r="B15" s="37" t="s">
        <v>16</v>
      </c>
      <c r="C15" s="88">
        <f>'Operating Build'!C13</f>
        <v>-184589</v>
      </c>
      <c r="D15" s="88">
        <f>'Operating Build'!D13</f>
        <v>-224911</v>
      </c>
      <c r="E15" s="88">
        <f>'Operating Build'!E13</f>
        <v>-257635</v>
      </c>
      <c r="F15" s="55">
        <f ca="1">-F9*F16</f>
        <v>-285234.79918000003</v>
      </c>
      <c r="G15" s="55">
        <f t="shared" ref="G15:K15" ca="1" si="7">-G9*G16</f>
        <v>-342225.08985060005</v>
      </c>
      <c r="H15" s="55">
        <f t="shared" ca="1" si="7"/>
        <v>-355361.00239032006</v>
      </c>
      <c r="I15" s="55">
        <f t="shared" ca="1" si="7"/>
        <v>-406425.13397893682</v>
      </c>
      <c r="J15" s="55">
        <f t="shared" ca="1" si="7"/>
        <v>-467931.90121834027</v>
      </c>
      <c r="K15" s="55">
        <f t="shared" ca="1" si="7"/>
        <v>-533850.10887959611</v>
      </c>
    </row>
    <row r="16" spans="1:26" ht="15.75" x14ac:dyDescent="0.25">
      <c r="B16" s="48" t="s">
        <v>152</v>
      </c>
      <c r="C16" s="56">
        <f>-C15/'Operating Build'!C9</f>
        <v>0.15649952606474346</v>
      </c>
      <c r="D16" s="56">
        <f>-D15/'Operating Build'!D9</f>
        <v>0.1515597287287665</v>
      </c>
      <c r="E16" s="56">
        <f>-E15/'Operating Build'!E9</f>
        <v>0.14866399461743263</v>
      </c>
      <c r="F16" s="50">
        <f t="shared" ref="F16:K16" ca="1" si="8">OFFSET(F16,MATCH($C$3,$B$17:$B$19,0),0)</f>
        <v>0.151</v>
      </c>
      <c r="G16" s="50">
        <f t="shared" ca="1" si="8"/>
        <v>0.14849999999999999</v>
      </c>
      <c r="H16" s="50">
        <f t="shared" ca="1" si="8"/>
        <v>0.1285</v>
      </c>
      <c r="I16" s="50">
        <f t="shared" ca="1" si="8"/>
        <v>0.1235</v>
      </c>
      <c r="J16" s="50">
        <f t="shared" ca="1" si="8"/>
        <v>0.1205</v>
      </c>
      <c r="K16" s="50">
        <f t="shared" ca="1" si="8"/>
        <v>0.11749999999999999</v>
      </c>
    </row>
    <row r="17" spans="1:13" ht="15.75" x14ac:dyDescent="0.25">
      <c r="B17" s="51" t="s">
        <v>4</v>
      </c>
      <c r="C17" s="63"/>
      <c r="F17" s="54">
        <v>0.151</v>
      </c>
      <c r="G17" s="54">
        <f>F17-0.25%</f>
        <v>0.14849999999999999</v>
      </c>
      <c r="H17" s="54">
        <f>G17-2%</f>
        <v>0.1285</v>
      </c>
      <c r="I17" s="54">
        <f>H17-0.5%</f>
        <v>0.1235</v>
      </c>
      <c r="J17" s="54">
        <f>I17-0.3%</f>
        <v>0.1205</v>
      </c>
      <c r="K17" s="54">
        <f>J17-0.3%</f>
        <v>0.11749999999999999</v>
      </c>
      <c r="M17" s="35" t="s">
        <v>93</v>
      </c>
    </row>
    <row r="18" spans="1:13" ht="15.75" x14ac:dyDescent="0.25">
      <c r="B18" s="51" t="s">
        <v>67</v>
      </c>
      <c r="F18" s="54">
        <v>0.14899999999999999</v>
      </c>
      <c r="G18" s="54">
        <f>F18-1%</f>
        <v>0.13899999999999998</v>
      </c>
      <c r="H18" s="54">
        <f>G18-2%</f>
        <v>0.11899999999999998</v>
      </c>
      <c r="I18" s="54">
        <f>H18-0.5%</f>
        <v>0.11399999999999998</v>
      </c>
      <c r="J18" s="54">
        <f>I18-0.5%</f>
        <v>0.10899999999999997</v>
      </c>
      <c r="K18" s="54">
        <f>J18-0.5%</f>
        <v>0.10399999999999997</v>
      </c>
      <c r="M18" s="35" t="s">
        <v>180</v>
      </c>
    </row>
    <row r="19" spans="1:13" ht="15.75" x14ac:dyDescent="0.25">
      <c r="B19" s="51" t="s">
        <v>6</v>
      </c>
      <c r="F19" s="54">
        <v>0.153</v>
      </c>
      <c r="G19" s="54">
        <f>F19+1%</f>
        <v>0.16300000000000001</v>
      </c>
      <c r="H19" s="54">
        <f>G19+1%</f>
        <v>0.17300000000000001</v>
      </c>
      <c r="I19" s="54">
        <f>H19+0.5%</f>
        <v>0.17800000000000002</v>
      </c>
      <c r="J19" s="54">
        <f>I19+0.5%</f>
        <v>0.18300000000000002</v>
      </c>
      <c r="K19" s="54">
        <f>J19+0.5%</f>
        <v>0.18800000000000003</v>
      </c>
      <c r="M19" s="35" t="s">
        <v>148</v>
      </c>
    </row>
    <row r="20" spans="1:13" ht="15.75" customHeight="1" x14ac:dyDescent="0.25">
      <c r="B20" s="57"/>
      <c r="C20" s="58"/>
      <c r="D20" s="58"/>
      <c r="E20" s="58"/>
      <c r="F20" s="59"/>
      <c r="G20" s="59"/>
      <c r="H20" s="59"/>
      <c r="I20" s="59"/>
      <c r="J20" s="59"/>
      <c r="K20" s="59"/>
      <c r="L20" s="58"/>
    </row>
    <row r="21" spans="1:13" ht="15.75" customHeight="1" x14ac:dyDescent="0.25">
      <c r="A21" s="35" t="s">
        <v>34</v>
      </c>
      <c r="B21" s="42" t="s">
        <v>18</v>
      </c>
      <c r="C21" s="43"/>
      <c r="D21" s="43"/>
      <c r="E21" s="43"/>
      <c r="F21" s="44"/>
      <c r="G21" s="44"/>
      <c r="H21" s="44"/>
      <c r="I21" s="44"/>
      <c r="J21" s="44"/>
      <c r="K21" s="44"/>
      <c r="L21" s="58"/>
    </row>
    <row r="22" spans="1:13" ht="15.75" customHeight="1" x14ac:dyDescent="0.25">
      <c r="B22" s="37" t="s">
        <v>19</v>
      </c>
      <c r="C22" s="88">
        <v>285583</v>
      </c>
      <c r="D22" s="88">
        <v>366801</v>
      </c>
      <c r="E22" s="88">
        <v>422058</v>
      </c>
      <c r="F22" s="96">
        <f t="shared" ref="F22:K22" si="9">+E22*(1+E23)</f>
        <v>485639.23043830309</v>
      </c>
      <c r="G22" s="96">
        <f t="shared" ca="1" si="9"/>
        <v>534203.15348213341</v>
      </c>
      <c r="H22" s="96">
        <f t="shared" ca="1" si="9"/>
        <v>651727.84724820277</v>
      </c>
      <c r="I22" s="96">
        <f t="shared" ca="1" si="9"/>
        <v>782073.41669784335</v>
      </c>
      <c r="J22" s="96">
        <f t="shared" ca="1" si="9"/>
        <v>930667.36587043351</v>
      </c>
      <c r="K22" s="96">
        <f t="shared" ca="1" si="9"/>
        <v>1098187.4917271114</v>
      </c>
    </row>
    <row r="23" spans="1:13" ht="15.75" customHeight="1" x14ac:dyDescent="0.25">
      <c r="B23" s="48" t="s">
        <v>15</v>
      </c>
      <c r="C23" s="36"/>
      <c r="D23" s="56">
        <f t="shared" ref="D23:E23" si="10">D22/C22 -1</f>
        <v>0.28439367889545242</v>
      </c>
      <c r="E23" s="56">
        <f t="shared" si="10"/>
        <v>0.15064571797786819</v>
      </c>
      <c r="F23" s="50">
        <f t="shared" ref="F23:K23" ca="1" si="11">OFFSET(F23,MATCH($C$3,$B$24:$B$26,0),0)</f>
        <v>0.1</v>
      </c>
      <c r="G23" s="50">
        <f t="shared" ca="1" si="11"/>
        <v>0.22</v>
      </c>
      <c r="H23" s="50">
        <f t="shared" ca="1" si="11"/>
        <v>0.2</v>
      </c>
      <c r="I23" s="50">
        <f t="shared" ca="1" si="11"/>
        <v>0.19</v>
      </c>
      <c r="J23" s="50">
        <f t="shared" ca="1" si="11"/>
        <v>0.18</v>
      </c>
      <c r="K23" s="50">
        <f t="shared" ca="1" si="11"/>
        <v>0.16999999999999998</v>
      </c>
    </row>
    <row r="24" spans="1:13" ht="15.75" customHeight="1" x14ac:dyDescent="0.25">
      <c r="B24" s="51" t="s">
        <v>4</v>
      </c>
      <c r="D24" s="49"/>
      <c r="F24" s="54">
        <v>0.1</v>
      </c>
      <c r="G24" s="54">
        <f>22%</f>
        <v>0.22</v>
      </c>
      <c r="H24" s="54">
        <f>G24-2%</f>
        <v>0.2</v>
      </c>
      <c r="I24" s="54">
        <f t="shared" ref="I24:K24" si="12">H24-1%</f>
        <v>0.19</v>
      </c>
      <c r="J24" s="54">
        <f t="shared" si="12"/>
        <v>0.18</v>
      </c>
      <c r="K24" s="54">
        <f t="shared" si="12"/>
        <v>0.16999999999999998</v>
      </c>
      <c r="M24" s="35" t="s">
        <v>94</v>
      </c>
    </row>
    <row r="25" spans="1:13" ht="15.75" customHeight="1" x14ac:dyDescent="0.25">
      <c r="B25" s="51" t="s">
        <v>67</v>
      </c>
      <c r="F25" s="54">
        <v>0.11</v>
      </c>
      <c r="G25" s="54">
        <f>25%</f>
        <v>0.25</v>
      </c>
      <c r="H25" s="54">
        <f>G25-2%</f>
        <v>0.23</v>
      </c>
      <c r="I25" s="54">
        <f>H25-1%</f>
        <v>0.22</v>
      </c>
      <c r="J25" s="54">
        <f t="shared" ref="J25:K25" si="13">I25-1%</f>
        <v>0.21</v>
      </c>
      <c r="K25" s="54">
        <f t="shared" si="13"/>
        <v>0.19999999999999998</v>
      </c>
      <c r="M25" s="35" t="s">
        <v>95</v>
      </c>
    </row>
    <row r="26" spans="1:13" ht="15.75" customHeight="1" x14ac:dyDescent="0.25">
      <c r="B26" s="51" t="s">
        <v>6</v>
      </c>
      <c r="F26" s="54">
        <v>0.09</v>
      </c>
      <c r="G26" s="54">
        <f>17%</f>
        <v>0.17</v>
      </c>
      <c r="H26" s="54">
        <f>G26-2%</f>
        <v>0.15000000000000002</v>
      </c>
      <c r="I26" s="54">
        <f t="shared" ref="I26:K26" si="14">H26-1%</f>
        <v>0.14000000000000001</v>
      </c>
      <c r="J26" s="54">
        <f t="shared" si="14"/>
        <v>0.13</v>
      </c>
      <c r="K26" s="54">
        <f t="shared" si="14"/>
        <v>0.12000000000000001</v>
      </c>
      <c r="M26" s="35" t="s">
        <v>147</v>
      </c>
    </row>
    <row r="27" spans="1:13" ht="15.75" customHeight="1" x14ac:dyDescent="0.25"/>
    <row r="28" spans="1:13" ht="15.75" customHeight="1" x14ac:dyDescent="0.25">
      <c r="B28" s="37" t="s">
        <v>20</v>
      </c>
      <c r="C28" s="88">
        <f>'Operating Build'!C14</f>
        <v>-224339</v>
      </c>
      <c r="D28" s="88">
        <f>'Operating Build'!D14</f>
        <v>-278767</v>
      </c>
      <c r="E28" s="88">
        <f>'Operating Build'!E14</f>
        <v>-351770</v>
      </c>
      <c r="F28" s="96">
        <f ca="1">-F22*F29</f>
        <v>-378798.59974187642</v>
      </c>
      <c r="G28" s="96">
        <f t="shared" ref="G28:K28" ca="1" si="15">-G22*G29</f>
        <v>-400652.36511160003</v>
      </c>
      <c r="H28" s="96">
        <f t="shared" ca="1" si="15"/>
        <v>-475761.328491188</v>
      </c>
      <c r="I28" s="96">
        <f t="shared" ca="1" si="15"/>
        <v>-555272.1258554688</v>
      </c>
      <c r="J28" s="96">
        <f t="shared" ca="1" si="15"/>
        <v>-642160.48245059908</v>
      </c>
      <c r="K28" s="96">
        <f t="shared" ca="1" si="15"/>
        <v>-735785.61945716455</v>
      </c>
    </row>
    <row r="29" spans="1:13" ht="15.75" customHeight="1" x14ac:dyDescent="0.25">
      <c r="B29" s="48" t="s">
        <v>153</v>
      </c>
      <c r="C29" s="56">
        <f>-C28/C22</f>
        <v>0.78554745905743695</v>
      </c>
      <c r="D29" s="56">
        <f t="shared" ref="D29:E29" si="16">-D28/D22</f>
        <v>0.75999520175790147</v>
      </c>
      <c r="E29" s="56">
        <f t="shared" si="16"/>
        <v>0.83346364717645438</v>
      </c>
      <c r="F29" s="50">
        <f t="shared" ref="F29:K29" ca="1" si="17">OFFSET(F29,MATCH($C$3,$B$30:$B$32,0),0)</f>
        <v>0.78</v>
      </c>
      <c r="G29" s="50">
        <f t="shared" ca="1" si="17"/>
        <v>0.75</v>
      </c>
      <c r="H29" s="50">
        <f t="shared" ca="1" si="17"/>
        <v>0.73</v>
      </c>
      <c r="I29" s="50">
        <f t="shared" ca="1" si="17"/>
        <v>0.71</v>
      </c>
      <c r="J29" s="50">
        <f t="shared" ca="1" si="17"/>
        <v>0.69</v>
      </c>
      <c r="K29" s="50">
        <f t="shared" ca="1" si="17"/>
        <v>0.66999999999999993</v>
      </c>
    </row>
    <row r="30" spans="1:13" ht="15.75" customHeight="1" x14ac:dyDescent="0.25">
      <c r="B30" s="51" t="s">
        <v>4</v>
      </c>
      <c r="F30" s="54">
        <f>78%</f>
        <v>0.78</v>
      </c>
      <c r="G30" s="54">
        <f>F30-3%</f>
        <v>0.75</v>
      </c>
      <c r="H30" s="54">
        <f>G30-2%</f>
        <v>0.73</v>
      </c>
      <c r="I30" s="54">
        <f t="shared" ref="I30:K30" si="18">H30-2%</f>
        <v>0.71</v>
      </c>
      <c r="J30" s="54">
        <f t="shared" si="18"/>
        <v>0.69</v>
      </c>
      <c r="K30" s="54">
        <f t="shared" si="18"/>
        <v>0.66999999999999993</v>
      </c>
      <c r="M30" s="35" t="s">
        <v>96</v>
      </c>
    </row>
    <row r="31" spans="1:13" ht="15.75" customHeight="1" x14ac:dyDescent="0.25">
      <c r="B31" s="51" t="s">
        <v>67</v>
      </c>
      <c r="F31" s="54">
        <f>76%</f>
        <v>0.76</v>
      </c>
      <c r="G31" s="54">
        <f>F31-3%</f>
        <v>0.73</v>
      </c>
      <c r="H31" s="54">
        <f>G31-1%</f>
        <v>0.72</v>
      </c>
      <c r="I31" s="54">
        <f t="shared" ref="I31:K31" si="19">H31-1%</f>
        <v>0.71</v>
      </c>
      <c r="J31" s="54">
        <f t="shared" si="19"/>
        <v>0.7</v>
      </c>
      <c r="K31" s="54">
        <f t="shared" si="19"/>
        <v>0.69</v>
      </c>
      <c r="M31" s="35" t="s">
        <v>149</v>
      </c>
    </row>
    <row r="32" spans="1:13" ht="15.75" customHeight="1" x14ac:dyDescent="0.25">
      <c r="B32" s="51" t="s">
        <v>6</v>
      </c>
      <c r="F32" s="54">
        <v>0.8</v>
      </c>
      <c r="G32" s="54">
        <v>0.8</v>
      </c>
      <c r="H32" s="54">
        <v>0.8</v>
      </c>
      <c r="I32" s="54">
        <v>0.8</v>
      </c>
      <c r="J32" s="54">
        <v>0.8</v>
      </c>
      <c r="K32" s="54">
        <v>0.8</v>
      </c>
      <c r="M32" s="35" t="s">
        <v>150</v>
      </c>
    </row>
    <row r="33" spans="1:15" ht="15.75" customHeight="1" x14ac:dyDescent="0.25"/>
    <row r="34" spans="1:15" ht="15.75" customHeight="1" x14ac:dyDescent="0.25">
      <c r="A34" s="35" t="s">
        <v>34</v>
      </c>
      <c r="B34" s="42" t="s">
        <v>21</v>
      </c>
      <c r="C34" s="43"/>
      <c r="D34" s="43"/>
      <c r="E34" s="43"/>
      <c r="F34" s="44"/>
      <c r="G34" s="44"/>
      <c r="H34" s="44"/>
      <c r="I34" s="44"/>
      <c r="J34" s="44"/>
      <c r="K34" s="44"/>
    </row>
    <row r="35" spans="1:15" ht="15.75" customHeight="1" x14ac:dyDescent="0.25">
      <c r="B35" s="51" t="s">
        <v>165</v>
      </c>
      <c r="C35" s="90">
        <v>-149113</v>
      </c>
      <c r="D35" s="90">
        <v>-171507</v>
      </c>
      <c r="E35" s="90">
        <v>-217595</v>
      </c>
      <c r="F35" s="95">
        <f ca="1">-'Operating Build'!F11*Assumptions!F36</f>
        <v>-237461.14104383034</v>
      </c>
      <c r="G35" s="95">
        <f ca="1">-'Operating Build'!G11*Assumptions!G36</f>
        <v>-276778.04827550804</v>
      </c>
      <c r="H35" s="95">
        <f ca="1">-'Operating Build'!H11*Assumptions!H36</f>
        <v>-324632.39628297929</v>
      </c>
      <c r="I35" s="95">
        <f ca="1">-'Operating Build'!I11*Assumptions!I36</f>
        <v>-376749.28005711455</v>
      </c>
      <c r="J35" s="95">
        <f ca="1">-'Operating Build'!J11*Assumptions!J36</f>
        <v>-433252.76923249359</v>
      </c>
      <c r="K35" s="95">
        <f ca="1">-'Operating Build'!K11*Assumptions!K36</f>
        <v>-493639.35894709808</v>
      </c>
    </row>
    <row r="36" spans="1:15" ht="15.75" customHeight="1" x14ac:dyDescent="0.25">
      <c r="B36" s="83" t="s">
        <v>154</v>
      </c>
      <c r="C36" s="56">
        <f>-C35/(C22+C9)</f>
        <v>0.10177882406903702</v>
      </c>
      <c r="D36" s="56">
        <f>-D35/(D22+D9)</f>
        <v>9.2667566108720817E-2</v>
      </c>
      <c r="E36" s="56">
        <f>-E35/(E22+E9)</f>
        <v>0.10096934656111663</v>
      </c>
      <c r="F36" s="56">
        <f t="shared" ref="F36:K36" ca="1" si="20">OFFSET(F36,MATCH($C$3,$B$37:$B$39,0),0)</f>
        <v>0.1</v>
      </c>
      <c r="G36" s="56">
        <f t="shared" ca="1" si="20"/>
        <v>9.7500000000000003E-2</v>
      </c>
      <c r="H36" s="56">
        <f t="shared" ca="1" si="20"/>
        <v>9.5000000000000001E-2</v>
      </c>
      <c r="I36" s="56">
        <f t="shared" ca="1" si="20"/>
        <v>9.2499999999999999E-2</v>
      </c>
      <c r="J36" s="56">
        <f t="shared" ca="1" si="20"/>
        <v>0.09</v>
      </c>
      <c r="K36" s="56">
        <f t="shared" ca="1" si="20"/>
        <v>8.7499999999999994E-2</v>
      </c>
    </row>
    <row r="37" spans="1:15" ht="15.75" customHeight="1" x14ac:dyDescent="0.25">
      <c r="B37" s="51" t="s">
        <v>4</v>
      </c>
      <c r="F37" s="52">
        <v>0.1</v>
      </c>
      <c r="G37" s="52">
        <f>F37-0.25%</f>
        <v>9.7500000000000003E-2</v>
      </c>
      <c r="H37" s="52">
        <f t="shared" ref="H37:K37" si="21">G37-0.25%</f>
        <v>9.5000000000000001E-2</v>
      </c>
      <c r="I37" s="52">
        <f t="shared" si="21"/>
        <v>9.2499999999999999E-2</v>
      </c>
      <c r="J37" s="52">
        <f t="shared" si="21"/>
        <v>0.09</v>
      </c>
      <c r="K37" s="52">
        <f t="shared" si="21"/>
        <v>8.7499999999999994E-2</v>
      </c>
      <c r="M37" s="99"/>
      <c r="N37" s="99"/>
      <c r="O37" s="99"/>
    </row>
    <row r="38" spans="1:15" ht="15.75" customHeight="1" x14ac:dyDescent="0.25">
      <c r="B38" s="51" t="s">
        <v>67</v>
      </c>
      <c r="F38" s="52">
        <v>0.1</v>
      </c>
      <c r="G38" s="52">
        <f>F38-0.5%</f>
        <v>9.5000000000000001E-2</v>
      </c>
      <c r="H38" s="52">
        <f t="shared" ref="H38:K38" si="22">G38-0.5%</f>
        <v>0.09</v>
      </c>
      <c r="I38" s="52">
        <f t="shared" si="22"/>
        <v>8.4999999999999992E-2</v>
      </c>
      <c r="J38" s="52">
        <f t="shared" si="22"/>
        <v>7.9999999999999988E-2</v>
      </c>
      <c r="K38" s="52">
        <f t="shared" si="22"/>
        <v>7.4999999999999983E-2</v>
      </c>
      <c r="M38" s="93"/>
    </row>
    <row r="39" spans="1:15" ht="15.75" customHeight="1" x14ac:dyDescent="0.25">
      <c r="B39" s="51" t="s">
        <v>6</v>
      </c>
      <c r="F39" s="52">
        <v>0.1</v>
      </c>
      <c r="G39" s="52">
        <f>F39</f>
        <v>0.1</v>
      </c>
      <c r="H39" s="52">
        <f t="shared" ref="H39:K39" si="23">G39</f>
        <v>0.1</v>
      </c>
      <c r="I39" s="52">
        <f t="shared" si="23"/>
        <v>0.1</v>
      </c>
      <c r="J39" s="52">
        <f t="shared" si="23"/>
        <v>0.1</v>
      </c>
      <c r="K39" s="52">
        <f t="shared" si="23"/>
        <v>0.1</v>
      </c>
    </row>
    <row r="40" spans="1:15" s="53" customFormat="1" ht="15.75" customHeight="1" x14ac:dyDescent="0.25">
      <c r="B40" s="51"/>
      <c r="F40"/>
      <c r="G40"/>
      <c r="H40"/>
      <c r="I40"/>
      <c r="J40"/>
      <c r="K40"/>
    </row>
    <row r="41" spans="1:15" s="53" customFormat="1" ht="15.75" customHeight="1" x14ac:dyDescent="0.25">
      <c r="B41" s="51" t="s">
        <v>161</v>
      </c>
      <c r="C41" s="90">
        <v>-235014</v>
      </c>
      <c r="D41" s="90">
        <v>-288061</v>
      </c>
      <c r="E41" s="90">
        <v>-348691</v>
      </c>
      <c r="F41" s="95">
        <f ca="1">-'Operating Build'!F11*Assumptions!F42</f>
        <v>-368064.76861793699</v>
      </c>
      <c r="G41" s="95">
        <f ca="1">-'Operating Build'!G11*Assumptions!G42</f>
        <v>-431489.88038848434</v>
      </c>
      <c r="H41" s="95">
        <f ca="1">-'Operating Build'!H11*Assumptions!H42</f>
        <v>-509160.28469646221</v>
      </c>
      <c r="I41" s="95">
        <f ca="1">-'Operating Build'!I11*Assumptions!I42</f>
        <v>-594652.91771176993</v>
      </c>
      <c r="J41" s="95">
        <f ca="1">-'Operating Build'!J11*Assumptions!J42</f>
        <v>-688390.51111385098</v>
      </c>
      <c r="K41" s="95">
        <f ca="1">-'Operating Build'!K11*Assumptions!K42</f>
        <v>-789822.97431535693</v>
      </c>
    </row>
    <row r="42" spans="1:15" s="53" customFormat="1" ht="15.75" customHeight="1" x14ac:dyDescent="0.25">
      <c r="B42" s="83" t="s">
        <v>154</v>
      </c>
      <c r="C42" s="56">
        <f>-C41/'Operating Build'!C11</f>
        <v>0.16041155740787635</v>
      </c>
      <c r="D42" s="56">
        <f>-D41/'Operating Build'!D11</f>
        <v>0.15564327847169054</v>
      </c>
      <c r="E42" s="56">
        <f>-E41/'Operating Build'!E11</f>
        <v>0.16180106354347443</v>
      </c>
      <c r="F42" s="56">
        <f t="shared" ref="F42:K42" ca="1" si="24">OFFSET(F42,MATCH($C$3,$B$37:$B$39,0),0)</f>
        <v>0.155</v>
      </c>
      <c r="G42" s="56">
        <f t="shared" ca="1" si="24"/>
        <v>0.152</v>
      </c>
      <c r="H42" s="56">
        <f t="shared" ca="1" si="24"/>
        <v>0.14899999999999999</v>
      </c>
      <c r="I42" s="56">
        <f t="shared" ca="1" si="24"/>
        <v>0.14599999999999999</v>
      </c>
      <c r="J42" s="56">
        <f t="shared" ca="1" si="24"/>
        <v>0.14299999999999999</v>
      </c>
      <c r="K42" s="56">
        <f t="shared" ca="1" si="24"/>
        <v>0.13999999999999999</v>
      </c>
    </row>
    <row r="43" spans="1:15" s="53" customFormat="1" ht="15.75" customHeight="1" x14ac:dyDescent="0.25">
      <c r="B43" s="51" t="s">
        <v>4</v>
      </c>
      <c r="F43" s="52">
        <v>0.155</v>
      </c>
      <c r="G43" s="52">
        <f>F43-0.3%</f>
        <v>0.152</v>
      </c>
      <c r="H43" s="52">
        <f t="shared" ref="H43:K43" si="25">G43-0.3%</f>
        <v>0.14899999999999999</v>
      </c>
      <c r="I43" s="52">
        <f t="shared" si="25"/>
        <v>0.14599999999999999</v>
      </c>
      <c r="J43" s="52">
        <f t="shared" si="25"/>
        <v>0.14299999999999999</v>
      </c>
      <c r="K43" s="52">
        <f t="shared" si="25"/>
        <v>0.13999999999999999</v>
      </c>
    </row>
    <row r="44" spans="1:15" s="53" customFormat="1" ht="15.75" customHeight="1" x14ac:dyDescent="0.25">
      <c r="B44" s="51" t="s">
        <v>67</v>
      </c>
      <c r="F44" s="52">
        <v>0.15</v>
      </c>
      <c r="G44" s="52">
        <f>F44-0.5%</f>
        <v>0.14499999999999999</v>
      </c>
      <c r="H44" s="52">
        <f t="shared" ref="H44:K44" si="26">G44-0.5%</f>
        <v>0.13999999999999999</v>
      </c>
      <c r="I44" s="52">
        <f t="shared" si="26"/>
        <v>0.13499999999999998</v>
      </c>
      <c r="J44" s="52">
        <f t="shared" si="26"/>
        <v>0.12999999999999998</v>
      </c>
      <c r="K44" s="52">
        <f t="shared" si="26"/>
        <v>0.12499999999999997</v>
      </c>
      <c r="M44" s="53" t="s">
        <v>181</v>
      </c>
    </row>
    <row r="45" spans="1:15" ht="15.75" customHeight="1" x14ac:dyDescent="0.25">
      <c r="B45" s="51" t="s">
        <v>6</v>
      </c>
      <c r="F45" s="52">
        <v>0.16</v>
      </c>
      <c r="G45" s="52">
        <f>F45</f>
        <v>0.16</v>
      </c>
      <c r="H45" s="52">
        <f t="shared" ref="H45:K45" si="27">G45</f>
        <v>0.16</v>
      </c>
      <c r="I45" s="52">
        <f t="shared" si="27"/>
        <v>0.16</v>
      </c>
      <c r="J45" s="52">
        <f t="shared" si="27"/>
        <v>0.16</v>
      </c>
      <c r="K45" s="52">
        <f t="shared" si="27"/>
        <v>0.16</v>
      </c>
      <c r="M45" s="35" t="s">
        <v>182</v>
      </c>
    </row>
    <row r="46" spans="1:15" s="53" customFormat="1" ht="15.75" customHeight="1" x14ac:dyDescent="0.25">
      <c r="B46" s="51"/>
    </row>
    <row r="47" spans="1:15" ht="15.75" customHeight="1" x14ac:dyDescent="0.25">
      <c r="B47" s="51" t="s">
        <v>22</v>
      </c>
      <c r="C47" s="90">
        <v>-294200</v>
      </c>
      <c r="D47" s="90">
        <v>-382000</v>
      </c>
      <c r="E47" s="90">
        <v>-520300</v>
      </c>
      <c r="F47" s="94">
        <f ca="1">-'Operating Build'!F11*Assumptions!F48</f>
        <v>-474922.28208766069</v>
      </c>
      <c r="G47" s="94">
        <f ca="1">-'Operating Build'!G11*Assumptions!G48</f>
        <v>-539362.35048560542</v>
      </c>
      <c r="H47" s="94">
        <f ca="1">-'Operating Build'!H11*Assumptions!H48</f>
        <v>-632178.87697211758</v>
      </c>
      <c r="I47" s="94">
        <f ca="1">-'Operating Build'!I11*Assumptions!I48</f>
        <v>-733133.73416519584</v>
      </c>
      <c r="J47" s="94">
        <f ca="1">-'Operating Build'!J11*Assumptions!J48</f>
        <v>-842435.94017429312</v>
      </c>
      <c r="K47" s="94">
        <f ca="1">-'Operating Build'!K11*Assumptions!K48</f>
        <v>-959070.75452579057</v>
      </c>
    </row>
    <row r="48" spans="1:15" ht="15.75" customHeight="1" x14ac:dyDescent="0.25">
      <c r="B48" s="83" t="s">
        <v>154</v>
      </c>
      <c r="C48" s="56">
        <f>-C47/(C22+C9)</f>
        <v>0.2008096546988572</v>
      </c>
      <c r="D48" s="56">
        <f>-D47/(D22+D9)</f>
        <v>0.20639979857108662</v>
      </c>
      <c r="E48" s="56">
        <f>-E47/(E22+E9)</f>
        <v>0.24143179308232718</v>
      </c>
      <c r="F48" s="56">
        <f ca="1">OFFSET(F48,MATCH($C$3,$B$49:$B$51,0),0)</f>
        <v>0.2</v>
      </c>
      <c r="G48" s="56">
        <f t="shared" ref="G48:K48" ca="1" si="28">OFFSET(G48,MATCH($C$3,$B$49:$B$51,0),0)</f>
        <v>0.19</v>
      </c>
      <c r="H48" s="56">
        <f t="shared" ca="1" si="28"/>
        <v>0.185</v>
      </c>
      <c r="I48" s="56">
        <f t="shared" ca="1" si="28"/>
        <v>0.18</v>
      </c>
      <c r="J48" s="56">
        <f t="shared" ca="1" si="28"/>
        <v>0.17499999999999999</v>
      </c>
      <c r="K48" s="56">
        <f t="shared" ca="1" si="28"/>
        <v>0.16999999999999998</v>
      </c>
    </row>
    <row r="49" spans="2:13" ht="15.75" customHeight="1" x14ac:dyDescent="0.25">
      <c r="B49" s="51" t="s">
        <v>4</v>
      </c>
      <c r="F49" s="52">
        <f>20%</f>
        <v>0.2</v>
      </c>
      <c r="G49" s="52">
        <f>F49-1%</f>
        <v>0.19</v>
      </c>
      <c r="H49" s="52">
        <f t="shared" ref="H49:K49" si="29">G49-0.5%</f>
        <v>0.185</v>
      </c>
      <c r="I49" s="52">
        <f t="shared" si="29"/>
        <v>0.18</v>
      </c>
      <c r="J49" s="52">
        <f t="shared" si="29"/>
        <v>0.17499999999999999</v>
      </c>
      <c r="K49" s="52">
        <f t="shared" si="29"/>
        <v>0.16999999999999998</v>
      </c>
      <c r="M49" s="35" t="s">
        <v>97</v>
      </c>
    </row>
    <row r="50" spans="2:13" ht="15.75" customHeight="1" x14ac:dyDescent="0.25">
      <c r="B50" s="51" t="s">
        <v>67</v>
      </c>
      <c r="F50" s="52">
        <f>18%</f>
        <v>0.18</v>
      </c>
      <c r="G50" s="52">
        <f>F50-1%</f>
        <v>0.16999999999999998</v>
      </c>
      <c r="H50" s="52">
        <f>G50-0.5%</f>
        <v>0.16499999999999998</v>
      </c>
      <c r="I50" s="52">
        <f t="shared" ref="I50:K50" si="30">H50-0.5%</f>
        <v>0.15999999999999998</v>
      </c>
      <c r="J50" s="52">
        <f t="shared" si="30"/>
        <v>0.15499999999999997</v>
      </c>
      <c r="K50" s="52">
        <f t="shared" si="30"/>
        <v>0.14999999999999997</v>
      </c>
      <c r="M50" s="35" t="s">
        <v>98</v>
      </c>
    </row>
    <row r="51" spans="2:13" ht="15.75" customHeight="1" x14ac:dyDescent="0.25">
      <c r="B51" s="51" t="s">
        <v>6</v>
      </c>
      <c r="F51" s="52">
        <f>24%</f>
        <v>0.24</v>
      </c>
      <c r="G51" s="52">
        <f>F51</f>
        <v>0.24</v>
      </c>
      <c r="H51" s="52">
        <f t="shared" ref="H51:K51" si="31">G51</f>
        <v>0.24</v>
      </c>
      <c r="I51" s="52">
        <f t="shared" si="31"/>
        <v>0.24</v>
      </c>
      <c r="J51" s="52">
        <f t="shared" si="31"/>
        <v>0.24</v>
      </c>
      <c r="K51" s="52">
        <f t="shared" si="31"/>
        <v>0.24</v>
      </c>
      <c r="M51" s="35" t="s">
        <v>99</v>
      </c>
    </row>
    <row r="52" spans="2:13" ht="15.75" customHeight="1" x14ac:dyDescent="0.25"/>
    <row r="53" spans="2:13" ht="15.75" customHeight="1" x14ac:dyDescent="0.25">
      <c r="B53" s="42" t="s">
        <v>23</v>
      </c>
      <c r="C53" s="43"/>
      <c r="D53" s="43"/>
      <c r="E53" s="43"/>
      <c r="F53" s="44"/>
      <c r="G53" s="44"/>
      <c r="H53" s="44"/>
      <c r="I53" s="44"/>
      <c r="J53" s="44"/>
      <c r="K53" s="44"/>
    </row>
    <row r="54" spans="2:13" ht="15.75" customHeight="1" x14ac:dyDescent="0.25">
      <c r="B54" s="51" t="s">
        <v>24</v>
      </c>
      <c r="C54" s="90">
        <f>'Operating Build'!C41</f>
        <v>611600</v>
      </c>
      <c r="D54" s="90">
        <f>'Operating Build'!D41</f>
        <v>694400</v>
      </c>
      <c r="E54" s="90">
        <f>'Operating Build'!E41</f>
        <v>785200</v>
      </c>
      <c r="F54" s="94">
        <f t="shared" ref="F54:K54" ca="1" si="32">F55*(F9+F22)/365</f>
        <v>865269.36325560091</v>
      </c>
      <c r="G54" s="94">
        <f t="shared" ca="1" si="32"/>
        <v>1034393.5488765036</v>
      </c>
      <c r="H54" s="94">
        <f t="shared" ca="1" si="32"/>
        <v>1245165.355605948</v>
      </c>
      <c r="I54" s="94">
        <f t="shared" ca="1" si="32"/>
        <v>1484121.5623131059</v>
      </c>
      <c r="J54" s="94">
        <f t="shared" ca="1" si="32"/>
        <v>1754113.1904998983</v>
      </c>
      <c r="K54" s="94">
        <f t="shared" ca="1" si="32"/>
        <v>2055703.6317796961</v>
      </c>
    </row>
    <row r="55" spans="2:13" ht="15.75" customHeight="1" x14ac:dyDescent="0.25">
      <c r="B55" s="51" t="s">
        <v>25</v>
      </c>
      <c r="C55" s="64">
        <f>C54/(C9+C22) *365</f>
        <v>152.37098047941768</v>
      </c>
      <c r="D55" s="64">
        <f>D54/(D9+D22) *365</f>
        <v>136.94572603830716</v>
      </c>
      <c r="E55" s="64">
        <f>E54/(E9+E22) *365</f>
        <v>132.98840867539653</v>
      </c>
      <c r="F55" s="64">
        <f t="shared" ref="F55:K55" ca="1" si="33">OFFSET(F55,MATCH($C$3,$B$56:$B$58,0),0)</f>
        <v>133</v>
      </c>
      <c r="G55" s="64">
        <f t="shared" ca="1" si="33"/>
        <v>133</v>
      </c>
      <c r="H55" s="64">
        <f t="shared" ca="1" si="33"/>
        <v>133</v>
      </c>
      <c r="I55" s="64">
        <f t="shared" ca="1" si="33"/>
        <v>133</v>
      </c>
      <c r="J55" s="64">
        <f t="shared" ca="1" si="33"/>
        <v>133</v>
      </c>
      <c r="K55" s="64">
        <f t="shared" ca="1" si="33"/>
        <v>133</v>
      </c>
    </row>
    <row r="56" spans="2:13" ht="15.75" customHeight="1" x14ac:dyDescent="0.25">
      <c r="B56" s="51" t="s">
        <v>4</v>
      </c>
      <c r="F56" s="65">
        <f t="shared" ref="F56:K56" si="34">133</f>
        <v>133</v>
      </c>
      <c r="G56" s="65">
        <f t="shared" si="34"/>
        <v>133</v>
      </c>
      <c r="H56" s="65">
        <f t="shared" si="34"/>
        <v>133</v>
      </c>
      <c r="I56" s="65">
        <f t="shared" si="34"/>
        <v>133</v>
      </c>
      <c r="J56" s="65">
        <f t="shared" si="34"/>
        <v>133</v>
      </c>
      <c r="K56" s="65">
        <f t="shared" si="34"/>
        <v>133</v>
      </c>
      <c r="M56" s="35" t="s">
        <v>100</v>
      </c>
    </row>
    <row r="57" spans="2:13" ht="15.75" customHeight="1" x14ac:dyDescent="0.25">
      <c r="B57" s="51" t="s">
        <v>67</v>
      </c>
      <c r="F57" s="65">
        <v>133</v>
      </c>
      <c r="G57" s="65">
        <v>133</v>
      </c>
      <c r="H57" s="65">
        <f>G57</f>
        <v>133</v>
      </c>
      <c r="I57" s="65">
        <f t="shared" ref="I57:K57" si="35">H57</f>
        <v>133</v>
      </c>
      <c r="J57" s="65">
        <f t="shared" si="35"/>
        <v>133</v>
      </c>
      <c r="K57" s="65">
        <f t="shared" si="35"/>
        <v>133</v>
      </c>
    </row>
    <row r="58" spans="2:13" ht="15.75" customHeight="1" x14ac:dyDescent="0.25">
      <c r="B58" s="51" t="s">
        <v>6</v>
      </c>
      <c r="F58" s="65">
        <v>133</v>
      </c>
      <c r="G58" s="65">
        <v>133</v>
      </c>
      <c r="H58" s="65">
        <f>G58</f>
        <v>133</v>
      </c>
      <c r="I58" s="65">
        <f t="shared" ref="I58:K58" si="36">H58</f>
        <v>133</v>
      </c>
      <c r="J58" s="65">
        <f t="shared" si="36"/>
        <v>133</v>
      </c>
      <c r="K58" s="65">
        <f t="shared" si="36"/>
        <v>133</v>
      </c>
    </row>
    <row r="59" spans="2:13" ht="15.75" customHeight="1" x14ac:dyDescent="0.25"/>
    <row r="60" spans="2:13" ht="15.75" customHeight="1" x14ac:dyDescent="0.25">
      <c r="B60" s="51" t="s">
        <v>26</v>
      </c>
      <c r="C60" s="117">
        <f>'Operating Build'!C47</f>
        <v>23300</v>
      </c>
      <c r="D60" s="117">
        <f>'Operating Build'!D47</f>
        <v>20300</v>
      </c>
      <c r="E60" s="117">
        <f>'Operating Build'!E47</f>
        <v>41700</v>
      </c>
      <c r="F60" s="94">
        <f t="shared" ref="F60:K60" ca="1" si="37">F61*((F28+F15)/365)*-1</f>
        <v>36094.308587972679</v>
      </c>
      <c r="G60" s="94">
        <f t="shared" ca="1" si="37"/>
        <v>40379.969058767259</v>
      </c>
      <c r="H60" s="94">
        <f t="shared" ca="1" si="37"/>
        <v>45176.622040244169</v>
      </c>
      <c r="I60" s="94">
        <f t="shared" ca="1" si="37"/>
        <v>52274.174342779748</v>
      </c>
      <c r="J60" s="94">
        <f t="shared" ca="1" si="37"/>
        <v>60340.364087648646</v>
      </c>
      <c r="K60" s="94">
        <f t="shared" ca="1" si="37"/>
        <v>69012.528356715979</v>
      </c>
    </row>
    <row r="61" spans="2:13" ht="15.75" customHeight="1" x14ac:dyDescent="0.25">
      <c r="B61" s="48" t="s">
        <v>27</v>
      </c>
      <c r="C61" s="118">
        <f>-C60/(C28+C15) *365</f>
        <v>20.797059629078959</v>
      </c>
      <c r="D61" s="118">
        <f>-D60/(D28+D15) *365</f>
        <v>14.710787447535925</v>
      </c>
      <c r="E61" s="118">
        <f>-E60/(E28+E15) *365</f>
        <v>24.976001181480296</v>
      </c>
      <c r="F61" s="118">
        <f t="shared" ref="F61:K61" ca="1" si="38">OFFSET(F61,MATCH($C$3,$B$62:$B$64,0),0)</f>
        <v>19.84</v>
      </c>
      <c r="G61" s="118">
        <f t="shared" ca="1" si="38"/>
        <v>19.84</v>
      </c>
      <c r="H61" s="118">
        <f t="shared" ca="1" si="38"/>
        <v>19.84</v>
      </c>
      <c r="I61" s="118">
        <f t="shared" ca="1" si="38"/>
        <v>19.84</v>
      </c>
      <c r="J61" s="118">
        <f t="shared" ca="1" si="38"/>
        <v>19.84</v>
      </c>
      <c r="K61" s="118">
        <f t="shared" ca="1" si="38"/>
        <v>19.84</v>
      </c>
      <c r="M61" s="35" t="s">
        <v>88</v>
      </c>
    </row>
    <row r="62" spans="2:13" ht="15.75" customHeight="1" x14ac:dyDescent="0.25">
      <c r="B62" s="51" t="s">
        <v>4</v>
      </c>
      <c r="C62" s="110"/>
      <c r="D62" s="110"/>
      <c r="E62" s="110"/>
      <c r="F62" s="111">
        <f>19.84</f>
        <v>19.84</v>
      </c>
      <c r="G62" s="111">
        <f t="shared" ref="G62:K62" si="39">19.84</f>
        <v>19.84</v>
      </c>
      <c r="H62" s="111">
        <f t="shared" si="39"/>
        <v>19.84</v>
      </c>
      <c r="I62" s="111">
        <f t="shared" si="39"/>
        <v>19.84</v>
      </c>
      <c r="J62" s="111">
        <f t="shared" si="39"/>
        <v>19.84</v>
      </c>
      <c r="K62" s="111">
        <f t="shared" si="39"/>
        <v>19.84</v>
      </c>
    </row>
    <row r="63" spans="2:13" ht="15.75" customHeight="1" x14ac:dyDescent="0.25">
      <c r="B63" s="51" t="s">
        <v>67</v>
      </c>
      <c r="C63" s="110"/>
      <c r="D63" s="110"/>
      <c r="E63" s="110"/>
      <c r="F63" s="111">
        <f>19.84</f>
        <v>19.84</v>
      </c>
      <c r="G63" s="111">
        <f>19.84</f>
        <v>19.84</v>
      </c>
      <c r="H63" s="111">
        <f t="shared" ref="H63:K63" si="40">19.84</f>
        <v>19.84</v>
      </c>
      <c r="I63" s="111">
        <f t="shared" si="40"/>
        <v>19.84</v>
      </c>
      <c r="J63" s="111">
        <f t="shared" si="40"/>
        <v>19.84</v>
      </c>
      <c r="K63" s="111">
        <f t="shared" si="40"/>
        <v>19.84</v>
      </c>
    </row>
    <row r="64" spans="2:13" ht="15.75" customHeight="1" x14ac:dyDescent="0.25">
      <c r="B64" s="51" t="s">
        <v>6</v>
      </c>
      <c r="C64" s="110"/>
      <c r="D64" s="110"/>
      <c r="E64" s="110"/>
      <c r="F64" s="111">
        <v>19.84</v>
      </c>
      <c r="G64" s="111">
        <v>19.84</v>
      </c>
      <c r="H64" s="111">
        <v>19.84</v>
      </c>
      <c r="I64" s="111">
        <v>19.84</v>
      </c>
      <c r="J64" s="111">
        <v>19.84</v>
      </c>
      <c r="K64" s="111">
        <v>19.84</v>
      </c>
    </row>
    <row r="65" spans="2:13" ht="15.75" customHeight="1" x14ac:dyDescent="0.25"/>
    <row r="66" spans="2:13" ht="15.75" customHeight="1" x14ac:dyDescent="0.25">
      <c r="B66" s="51" t="s">
        <v>79</v>
      </c>
      <c r="C66" s="117">
        <f>'Operating Build'!C44</f>
        <v>35200</v>
      </c>
      <c r="D66" s="117">
        <f>'Operating Build'!D44</f>
        <v>36700</v>
      </c>
      <c r="E66" s="117">
        <f>'Operating Build'!E44</f>
        <v>75600</v>
      </c>
      <c r="F66" s="94">
        <f ca="1">F67*-F35</f>
        <v>25337.1037493767</v>
      </c>
      <c r="G66" s="94">
        <f t="shared" ref="G66:K66" ca="1" si="41">G67*-G35</f>
        <v>29532.217750996708</v>
      </c>
      <c r="H66" s="94">
        <f t="shared" ca="1" si="41"/>
        <v>34638.276683393888</v>
      </c>
      <c r="I66" s="94">
        <f t="shared" ca="1" si="41"/>
        <v>40199.148182094126</v>
      </c>
      <c r="J66" s="94">
        <f t="shared" ca="1" si="41"/>
        <v>46228.070477107067</v>
      </c>
      <c r="K66" s="94">
        <f t="shared" ca="1" si="41"/>
        <v>52671.31959965537</v>
      </c>
      <c r="M66" s="63"/>
    </row>
    <row r="67" spans="2:13" ht="15.75" customHeight="1" x14ac:dyDescent="0.25">
      <c r="B67" s="51" t="s">
        <v>28</v>
      </c>
      <c r="C67" s="56">
        <f>-C66/C35</f>
        <v>0.23606258340989719</v>
      </c>
      <c r="D67" s="56">
        <f t="shared" ref="D67:E67" si="42">-D66/D35</f>
        <v>0.21398543499682229</v>
      </c>
      <c r="E67" s="56">
        <f t="shared" si="42"/>
        <v>0.3474344539166801</v>
      </c>
      <c r="F67" s="56">
        <f t="shared" ref="F67:K67" ca="1" si="43">OFFSET(F67,MATCH($C$3,$B$68:$B$70,0),0)</f>
        <v>0.1067</v>
      </c>
      <c r="G67" s="56">
        <f t="shared" ca="1" si="43"/>
        <v>0.1067</v>
      </c>
      <c r="H67" s="56">
        <f t="shared" ca="1" si="43"/>
        <v>0.1067</v>
      </c>
      <c r="I67" s="56">
        <f t="shared" ca="1" si="43"/>
        <v>0.1067</v>
      </c>
      <c r="J67" s="56">
        <f t="shared" ca="1" si="43"/>
        <v>0.1067</v>
      </c>
      <c r="K67" s="56">
        <f t="shared" ca="1" si="43"/>
        <v>0.1067</v>
      </c>
      <c r="M67" s="62" t="s">
        <v>88</v>
      </c>
    </row>
    <row r="68" spans="2:13" ht="15.75" customHeight="1" x14ac:dyDescent="0.25">
      <c r="B68" s="51" t="s">
        <v>4</v>
      </c>
      <c r="C68" s="49"/>
      <c r="D68" s="49"/>
      <c r="E68" s="49"/>
      <c r="F68" s="52">
        <f>0.1067</f>
        <v>0.1067</v>
      </c>
      <c r="G68" s="52">
        <f>F68</f>
        <v>0.1067</v>
      </c>
      <c r="H68" s="52">
        <f t="shared" ref="H68:K68" si="44">G68</f>
        <v>0.1067</v>
      </c>
      <c r="I68" s="52">
        <f t="shared" si="44"/>
        <v>0.1067</v>
      </c>
      <c r="J68" s="52">
        <f t="shared" si="44"/>
        <v>0.1067</v>
      </c>
      <c r="K68" s="52">
        <f t="shared" si="44"/>
        <v>0.1067</v>
      </c>
    </row>
    <row r="69" spans="2:13" ht="15.75" customHeight="1" x14ac:dyDescent="0.25">
      <c r="B69" s="51" t="s">
        <v>67</v>
      </c>
      <c r="C69" s="49"/>
      <c r="D69" s="49"/>
      <c r="E69" s="49"/>
      <c r="F69" s="52">
        <f>10.67%</f>
        <v>0.1067</v>
      </c>
      <c r="G69" s="52">
        <f>F69</f>
        <v>0.1067</v>
      </c>
      <c r="H69" s="52">
        <f t="shared" ref="H69:K69" si="45">G69</f>
        <v>0.1067</v>
      </c>
      <c r="I69" s="52">
        <f t="shared" si="45"/>
        <v>0.1067</v>
      </c>
      <c r="J69" s="52">
        <f t="shared" si="45"/>
        <v>0.1067</v>
      </c>
      <c r="K69" s="52">
        <f t="shared" si="45"/>
        <v>0.1067</v>
      </c>
    </row>
    <row r="70" spans="2:13" ht="15.75" customHeight="1" x14ac:dyDescent="0.25">
      <c r="B70" s="51" t="s">
        <v>6</v>
      </c>
      <c r="C70" s="49"/>
      <c r="D70" s="49"/>
      <c r="E70" s="49"/>
      <c r="F70" s="52">
        <v>0.1067</v>
      </c>
      <c r="G70" s="52">
        <f>F70</f>
        <v>0.1067</v>
      </c>
      <c r="H70" s="52">
        <f t="shared" ref="H70:K70" si="46">G70</f>
        <v>0.1067</v>
      </c>
      <c r="I70" s="52">
        <f t="shared" si="46"/>
        <v>0.1067</v>
      </c>
      <c r="J70" s="52">
        <f t="shared" si="46"/>
        <v>0.1067</v>
      </c>
      <c r="K70" s="52">
        <f t="shared" si="46"/>
        <v>0.1067</v>
      </c>
    </row>
    <row r="71" spans="2:13" ht="15.75" customHeight="1" x14ac:dyDescent="0.25">
      <c r="B71" s="51"/>
      <c r="F71" s="67"/>
      <c r="G71" s="67"/>
      <c r="H71" s="67"/>
      <c r="I71" s="67"/>
      <c r="J71" s="67"/>
      <c r="K71" s="67"/>
    </row>
    <row r="72" spans="2:13" ht="15.75" customHeight="1" x14ac:dyDescent="0.25">
      <c r="B72" s="51" t="s">
        <v>176</v>
      </c>
      <c r="C72" s="90">
        <v>61400</v>
      </c>
      <c r="D72" s="90">
        <v>69900</v>
      </c>
      <c r="E72" s="90">
        <v>79600</v>
      </c>
      <c r="F72" s="94">
        <f t="shared" ref="F72:K72" ca="1" si="47">F73*F35*-1</f>
        <v>34740.564934712384</v>
      </c>
      <c r="G72" s="94">
        <f t="shared" ca="1" si="47"/>
        <v>40492.628462706831</v>
      </c>
      <c r="H72" s="94">
        <f t="shared" ca="1" si="47"/>
        <v>47493.719576199874</v>
      </c>
      <c r="I72" s="94">
        <f t="shared" ca="1" si="47"/>
        <v>55118.419672355863</v>
      </c>
      <c r="J72" s="94">
        <f t="shared" ca="1" si="47"/>
        <v>63384.880138713816</v>
      </c>
      <c r="K72" s="94">
        <f t="shared" ca="1" si="47"/>
        <v>72219.438213960457</v>
      </c>
    </row>
    <row r="73" spans="2:13" ht="15.75" customHeight="1" x14ac:dyDescent="0.25">
      <c r="B73" s="51" t="s">
        <v>28</v>
      </c>
      <c r="C73" s="56">
        <f>-C72/C35</f>
        <v>0.41176825628885477</v>
      </c>
      <c r="D73" s="56">
        <f>-D72/D35</f>
        <v>0.40756353968059611</v>
      </c>
      <c r="E73" s="56">
        <f>-E72/E35</f>
        <v>0.36581722925618693</v>
      </c>
      <c r="F73" s="56">
        <f t="shared" ref="F73:K73" ca="1" si="48">OFFSET(F73,MATCH($C$3,$B$74:$B$76,0),0)</f>
        <v>0.14630000000000001</v>
      </c>
      <c r="G73" s="56">
        <f t="shared" ca="1" si="48"/>
        <v>0.14630000000000001</v>
      </c>
      <c r="H73" s="56">
        <f t="shared" ca="1" si="48"/>
        <v>0.14630000000000001</v>
      </c>
      <c r="I73" s="56">
        <f t="shared" ca="1" si="48"/>
        <v>0.14630000000000001</v>
      </c>
      <c r="J73" s="56">
        <f t="shared" ca="1" si="48"/>
        <v>0.14630000000000001</v>
      </c>
      <c r="K73" s="56">
        <f t="shared" ca="1" si="48"/>
        <v>0.14630000000000001</v>
      </c>
      <c r="M73" s="35" t="s">
        <v>29</v>
      </c>
    </row>
    <row r="74" spans="2:13" ht="15.75" customHeight="1" x14ac:dyDescent="0.25">
      <c r="B74" s="51" t="s">
        <v>4</v>
      </c>
      <c r="C74" s="49"/>
      <c r="D74" s="49"/>
      <c r="E74" s="49"/>
      <c r="F74" s="52">
        <f>14.63%</f>
        <v>0.14630000000000001</v>
      </c>
      <c r="G74" s="52">
        <f t="shared" ref="G74:K74" si="49">14.63%</f>
        <v>0.14630000000000001</v>
      </c>
      <c r="H74" s="52">
        <f t="shared" si="49"/>
        <v>0.14630000000000001</v>
      </c>
      <c r="I74" s="52">
        <f t="shared" si="49"/>
        <v>0.14630000000000001</v>
      </c>
      <c r="J74" s="52">
        <f t="shared" si="49"/>
        <v>0.14630000000000001</v>
      </c>
      <c r="K74" s="52">
        <f t="shared" si="49"/>
        <v>0.14630000000000001</v>
      </c>
    </row>
    <row r="75" spans="2:13" ht="15.75" customHeight="1" x14ac:dyDescent="0.25">
      <c r="B75" s="51" t="s">
        <v>67</v>
      </c>
      <c r="C75" s="49"/>
      <c r="D75" s="49"/>
      <c r="E75" s="49"/>
      <c r="F75" s="52">
        <v>0.14630000000000001</v>
      </c>
      <c r="G75" s="52">
        <f>F75</f>
        <v>0.14630000000000001</v>
      </c>
      <c r="H75" s="52">
        <f t="shared" ref="H75:K75" si="50">G75</f>
        <v>0.14630000000000001</v>
      </c>
      <c r="I75" s="52">
        <f t="shared" si="50"/>
        <v>0.14630000000000001</v>
      </c>
      <c r="J75" s="52">
        <f t="shared" si="50"/>
        <v>0.14630000000000001</v>
      </c>
      <c r="K75" s="52">
        <f t="shared" si="50"/>
        <v>0.14630000000000001</v>
      </c>
    </row>
    <row r="76" spans="2:13" ht="15.75" customHeight="1" x14ac:dyDescent="0.25">
      <c r="B76" s="51" t="s">
        <v>6</v>
      </c>
      <c r="C76" s="49"/>
      <c r="D76" s="49"/>
      <c r="E76" s="49"/>
      <c r="F76" s="52">
        <v>0.14630000000000001</v>
      </c>
      <c r="G76" s="52">
        <f>F76</f>
        <v>0.14630000000000001</v>
      </c>
      <c r="H76" s="52">
        <f t="shared" ref="H76:K76" si="51">G76</f>
        <v>0.14630000000000001</v>
      </c>
      <c r="I76" s="52">
        <f t="shared" si="51"/>
        <v>0.14630000000000001</v>
      </c>
      <c r="J76" s="52">
        <f t="shared" si="51"/>
        <v>0.14630000000000001</v>
      </c>
      <c r="K76" s="52">
        <f t="shared" si="51"/>
        <v>0.14630000000000001</v>
      </c>
    </row>
    <row r="77" spans="2:13" ht="15.75" customHeight="1" x14ac:dyDescent="0.25"/>
    <row r="78" spans="2:13" ht="15.75" customHeight="1" x14ac:dyDescent="0.25">
      <c r="B78" s="51" t="s">
        <v>30</v>
      </c>
      <c r="C78" s="117">
        <f>'Operating Build'!C49</f>
        <v>617000</v>
      </c>
      <c r="D78" s="117">
        <f>'Operating Build'!D49</f>
        <v>731700</v>
      </c>
      <c r="E78" s="117">
        <f>'Operating Build'!E49</f>
        <v>869300</v>
      </c>
      <c r="F78" s="94">
        <f t="shared" ref="F78:K78" ca="1" si="52">(F22+F9)*F79</f>
        <v>948419.79732905829</v>
      </c>
      <c r="G78" s="94">
        <f t="shared" ca="1" si="52"/>
        <v>1133796.4357050043</v>
      </c>
      <c r="H78" s="94">
        <f t="shared" ca="1" si="52"/>
        <v>1364822.9376360201</v>
      </c>
      <c r="I78" s="94">
        <f t="shared" ca="1" si="52"/>
        <v>1626742.2968087734</v>
      </c>
      <c r="J78" s="94">
        <f t="shared" ca="1" si="52"/>
        <v>1922679.5114606437</v>
      </c>
      <c r="K78" s="94">
        <f t="shared" ca="1" si="52"/>
        <v>2253252.1138682398</v>
      </c>
    </row>
    <row r="79" spans="2:13" ht="15.75" customHeight="1" x14ac:dyDescent="0.25">
      <c r="B79" s="83" t="s">
        <v>154</v>
      </c>
      <c r="C79" s="56">
        <f>C78/(C22+C9)</f>
        <v>0.421140574266468</v>
      </c>
      <c r="D79" s="56">
        <f>D78/(D22+D9)</f>
        <v>0.39534746757713113</v>
      </c>
      <c r="E79" s="56">
        <f>E78/(E22+E9)</f>
        <v>0.40337624010468387</v>
      </c>
      <c r="F79" s="56">
        <f t="shared" ref="F79:K79" ca="1" si="53">OFFSET(F79,MATCH($C$3,$B$80:$B$82,0),0)</f>
        <v>0.39939999999999998</v>
      </c>
      <c r="G79" s="56">
        <f t="shared" ca="1" si="53"/>
        <v>0.39939999999999998</v>
      </c>
      <c r="H79" s="56">
        <f t="shared" ca="1" si="53"/>
        <v>0.39939999999999998</v>
      </c>
      <c r="I79" s="56">
        <f t="shared" ca="1" si="53"/>
        <v>0.39939999999999998</v>
      </c>
      <c r="J79" s="56">
        <f t="shared" ca="1" si="53"/>
        <v>0.39939999999999998</v>
      </c>
      <c r="K79" s="56">
        <f t="shared" ca="1" si="53"/>
        <v>0.39939999999999998</v>
      </c>
      <c r="M79" s="35" t="s">
        <v>29</v>
      </c>
    </row>
    <row r="80" spans="2:13" ht="15.75" customHeight="1" x14ac:dyDescent="0.25">
      <c r="B80" s="51" t="s">
        <v>4</v>
      </c>
      <c r="F80" s="52">
        <f>39.94%</f>
        <v>0.39939999999999998</v>
      </c>
      <c r="G80" s="52">
        <f t="shared" ref="G80:K80" si="54">39.94%</f>
        <v>0.39939999999999998</v>
      </c>
      <c r="H80" s="52">
        <f t="shared" si="54"/>
        <v>0.39939999999999998</v>
      </c>
      <c r="I80" s="52">
        <f t="shared" si="54"/>
        <v>0.39939999999999998</v>
      </c>
      <c r="J80" s="52">
        <f t="shared" si="54"/>
        <v>0.39939999999999998</v>
      </c>
      <c r="K80" s="52">
        <f t="shared" si="54"/>
        <v>0.39939999999999998</v>
      </c>
    </row>
    <row r="81" spans="2:13" ht="15.75" customHeight="1" x14ac:dyDescent="0.25">
      <c r="B81" s="51" t="s">
        <v>67</v>
      </c>
      <c r="F81" s="52">
        <v>0.39939999999999998</v>
      </c>
      <c r="G81" s="52">
        <v>0.39939999999999998</v>
      </c>
      <c r="H81" s="52">
        <v>0.39939999999999998</v>
      </c>
      <c r="I81" s="52">
        <v>0.39939999999999998</v>
      </c>
      <c r="J81" s="52">
        <v>0.39939999999999998</v>
      </c>
      <c r="K81" s="52">
        <v>0.39939999999999998</v>
      </c>
    </row>
    <row r="82" spans="2:13" ht="15.75" customHeight="1" x14ac:dyDescent="0.25">
      <c r="B82" s="51" t="s">
        <v>6</v>
      </c>
      <c r="F82" s="52">
        <v>0.39939999999999998</v>
      </c>
      <c r="G82" s="52">
        <v>0.39939999999999998</v>
      </c>
      <c r="H82" s="52">
        <v>0.39939999999999998</v>
      </c>
      <c r="I82" s="52">
        <v>0.39939999999999998</v>
      </c>
      <c r="J82" s="52">
        <v>0.39939999999999998</v>
      </c>
      <c r="K82" s="52">
        <v>0.39939999999999998</v>
      </c>
    </row>
    <row r="83" spans="2:13" ht="15.75" customHeight="1" x14ac:dyDescent="0.25"/>
    <row r="84" spans="2:13" ht="15.75" customHeight="1" x14ac:dyDescent="0.25">
      <c r="B84" s="51" t="s">
        <v>158</v>
      </c>
      <c r="C84" s="117">
        <f>'Operating Build'!C38</f>
        <v>-8700</v>
      </c>
      <c r="D84" s="117">
        <f>'Operating Build'!D38</f>
        <v>-14200</v>
      </c>
      <c r="E84" s="117">
        <f>'Operating Build'!E38</f>
        <v>-13500</v>
      </c>
      <c r="F84" s="94">
        <f t="shared" ref="F84:K84" ca="1" si="55">F85*(F22+F9)*-1</f>
        <v>-14485.129603673649</v>
      </c>
      <c r="G84" s="94">
        <f t="shared" ca="1" si="55"/>
        <v>-15896.995593259946</v>
      </c>
      <c r="H84" s="94">
        <f t="shared" ca="1" si="55"/>
        <v>-17427.63390571783</v>
      </c>
      <c r="I84" s="94">
        <f t="shared" ca="1" si="55"/>
        <v>-18735.639873110555</v>
      </c>
      <c r="J84" s="94">
        <f t="shared" ca="1" si="55"/>
        <v>-19737.070598369144</v>
      </c>
      <c r="K84" s="94">
        <f t="shared" ca="1" si="55"/>
        <v>-20309.733625252025</v>
      </c>
    </row>
    <row r="85" spans="2:13" ht="15.75" customHeight="1" x14ac:dyDescent="0.25">
      <c r="B85" s="83" t="s">
        <v>154</v>
      </c>
      <c r="C85" s="56">
        <f>C84/(D22+D9)*-1</f>
        <v>4.7007283967760568E-3</v>
      </c>
      <c r="D85" s="56">
        <f>D84/(E22+E9)*-1</f>
        <v>6.5891436897348565E-3</v>
      </c>
      <c r="E85" s="56">
        <f ca="1">E84/(F22+F9)*-1</f>
        <v>5.6851407100365035E-3</v>
      </c>
      <c r="F85" s="56">
        <f t="shared" ref="F85:K85" ca="1" si="56">OFFSET(F85,MATCH($C$3,$B$86:$B$88,0),0)</f>
        <v>6.0999999999999995E-3</v>
      </c>
      <c r="G85" s="56">
        <f t="shared" ca="1" si="56"/>
        <v>5.5999999999999991E-3</v>
      </c>
      <c r="H85" s="56">
        <f t="shared" ca="1" si="56"/>
        <v>5.0999999999999986E-3</v>
      </c>
      <c r="I85" s="56">
        <f t="shared" ca="1" si="56"/>
        <v>4.5999999999999982E-3</v>
      </c>
      <c r="J85" s="56">
        <f t="shared" ca="1" si="56"/>
        <v>4.0999999999999977E-3</v>
      </c>
      <c r="K85" s="56">
        <f t="shared" ca="1" si="56"/>
        <v>3.5999999999999977E-3</v>
      </c>
      <c r="M85" s="35" t="s">
        <v>29</v>
      </c>
    </row>
    <row r="86" spans="2:13" ht="15.75" customHeight="1" x14ac:dyDescent="0.25">
      <c r="B86" s="51" t="s">
        <v>4</v>
      </c>
      <c r="F86" s="52">
        <f>0.61%</f>
        <v>6.0999999999999995E-3</v>
      </c>
      <c r="G86" s="52">
        <f>F86-0.05%</f>
        <v>5.5999999999999991E-3</v>
      </c>
      <c r="H86" s="52">
        <f t="shared" ref="H86:K86" si="57">G86-0.05%</f>
        <v>5.0999999999999986E-3</v>
      </c>
      <c r="I86" s="52">
        <f t="shared" si="57"/>
        <v>4.5999999999999982E-3</v>
      </c>
      <c r="J86" s="52">
        <f t="shared" si="57"/>
        <v>4.0999999999999977E-3</v>
      </c>
      <c r="K86" s="52">
        <f t="shared" si="57"/>
        <v>3.5999999999999977E-3</v>
      </c>
    </row>
    <row r="87" spans="2:13" ht="15.75" customHeight="1" x14ac:dyDescent="0.25">
      <c r="B87" s="51" t="s">
        <v>67</v>
      </c>
      <c r="F87" s="52">
        <f>0.61%</f>
        <v>6.0999999999999995E-3</v>
      </c>
      <c r="G87" s="52">
        <f>F87-0.075%</f>
        <v>5.3499999999999997E-3</v>
      </c>
      <c r="H87" s="52">
        <f t="shared" ref="H87:K87" si="58">G87-0.075%</f>
        <v>4.5999999999999999E-3</v>
      </c>
      <c r="I87" s="52">
        <f t="shared" si="58"/>
        <v>3.8500000000000001E-3</v>
      </c>
      <c r="J87" s="52">
        <f t="shared" si="58"/>
        <v>3.1000000000000003E-3</v>
      </c>
      <c r="K87" s="52">
        <f t="shared" si="58"/>
        <v>2.3500000000000005E-3</v>
      </c>
    </row>
    <row r="88" spans="2:13" ht="15.75" customHeight="1" x14ac:dyDescent="0.25">
      <c r="B88" s="51" t="s">
        <v>6</v>
      </c>
      <c r="F88" s="52">
        <f>0.61%</f>
        <v>6.0999999999999995E-3</v>
      </c>
      <c r="G88" s="52">
        <f t="shared" ref="G88:K88" si="59">0.61%</f>
        <v>6.0999999999999995E-3</v>
      </c>
      <c r="H88" s="52">
        <f t="shared" si="59"/>
        <v>6.0999999999999995E-3</v>
      </c>
      <c r="I88" s="52">
        <f t="shared" si="59"/>
        <v>6.0999999999999995E-3</v>
      </c>
      <c r="J88" s="52">
        <f t="shared" si="59"/>
        <v>6.0999999999999995E-3</v>
      </c>
      <c r="K88" s="52">
        <f t="shared" si="59"/>
        <v>6.0999999999999995E-3</v>
      </c>
    </row>
    <row r="89" spans="2:13" ht="15.75" customHeight="1" x14ac:dyDescent="0.25"/>
    <row r="90" spans="2:13" ht="15.75" customHeight="1" x14ac:dyDescent="0.25">
      <c r="B90" s="51" t="s">
        <v>32</v>
      </c>
      <c r="C90" s="117">
        <f>'Operating Build'!C33</f>
        <v>29500</v>
      </c>
      <c r="D90" s="117">
        <f>'Operating Build'!D33</f>
        <v>27400</v>
      </c>
      <c r="E90" s="117">
        <f>'Operating Build'!E33</f>
        <v>29100</v>
      </c>
      <c r="F90" s="94">
        <f t="shared" ref="F90:K90" ca="1" si="60">F91*(F22+F9)</f>
        <v>33719.482028223909</v>
      </c>
      <c r="G90" s="94">
        <f t="shared" ca="1" si="60"/>
        <v>40310.238825766304</v>
      </c>
      <c r="H90" s="94">
        <f t="shared" ca="1" si="60"/>
        <v>48524.00028650849</v>
      </c>
      <c r="I90" s="94">
        <f t="shared" ca="1" si="60"/>
        <v>57836.105695254344</v>
      </c>
      <c r="J90" s="94">
        <f t="shared" ca="1" si="60"/>
        <v>68357.659145571219</v>
      </c>
      <c r="K90" s="94">
        <f t="shared" ca="1" si="60"/>
        <v>80110.615966271929</v>
      </c>
    </row>
    <row r="91" spans="2:13" ht="15.75" customHeight="1" x14ac:dyDescent="0.25">
      <c r="B91" s="51" t="s">
        <v>31</v>
      </c>
      <c r="C91" s="56">
        <f>C90/(C22+C9)</f>
        <v>2.0135570406581534E-2</v>
      </c>
      <c r="D91" s="56">
        <f>D90/(D22+D9)</f>
        <v>1.4804592881800454E-2</v>
      </c>
      <c r="E91" s="56">
        <f>E90/(E22+E9)</f>
        <v>1.3503104321921431E-2</v>
      </c>
      <c r="F91" s="56">
        <f t="shared" ref="F91:K91" ca="1" si="61">OFFSET(F91,MATCH($C$3,$B$92:$B$94,0),0)</f>
        <v>1.4200000000000001E-2</v>
      </c>
      <c r="G91" s="56">
        <f t="shared" ca="1" si="61"/>
        <v>1.4200000000000001E-2</v>
      </c>
      <c r="H91" s="56">
        <f t="shared" ca="1" si="61"/>
        <v>1.4200000000000001E-2</v>
      </c>
      <c r="I91" s="56">
        <f t="shared" ca="1" si="61"/>
        <v>1.4200000000000001E-2</v>
      </c>
      <c r="J91" s="56">
        <f t="shared" ca="1" si="61"/>
        <v>1.4200000000000001E-2</v>
      </c>
      <c r="K91" s="56">
        <f t="shared" ca="1" si="61"/>
        <v>1.4200000000000001E-2</v>
      </c>
      <c r="M91" s="35" t="s">
        <v>29</v>
      </c>
    </row>
    <row r="92" spans="2:13" ht="15.75" customHeight="1" x14ac:dyDescent="0.25">
      <c r="B92" s="51" t="s">
        <v>4</v>
      </c>
      <c r="F92" s="52">
        <v>1.4200000000000001E-2</v>
      </c>
      <c r="G92" s="52">
        <f ca="1">F91</f>
        <v>1.4200000000000001E-2</v>
      </c>
      <c r="H92" s="52">
        <f ca="1">G91</f>
        <v>1.4200000000000001E-2</v>
      </c>
      <c r="I92" s="52">
        <f ca="1">H91</f>
        <v>1.4200000000000001E-2</v>
      </c>
      <c r="J92" s="52">
        <f ca="1">I91</f>
        <v>1.4200000000000001E-2</v>
      </c>
      <c r="K92" s="52">
        <f ca="1">J91</f>
        <v>1.4200000000000001E-2</v>
      </c>
    </row>
    <row r="93" spans="2:13" ht="15.75" customHeight="1" x14ac:dyDescent="0.25">
      <c r="B93" s="51" t="s">
        <v>67</v>
      </c>
      <c r="F93" s="52">
        <v>1.4200000000000001E-2</v>
      </c>
      <c r="G93" s="52">
        <v>1.4200000000000001E-2</v>
      </c>
      <c r="H93" s="52">
        <v>1.4200000000000001E-2</v>
      </c>
      <c r="I93" s="52">
        <v>1.4200000000000001E-2</v>
      </c>
      <c r="J93" s="52">
        <v>1.4200000000000001E-2</v>
      </c>
      <c r="K93" s="52">
        <v>1.4200000000000001E-2</v>
      </c>
    </row>
    <row r="94" spans="2:13" ht="15.75" customHeight="1" x14ac:dyDescent="0.25">
      <c r="B94" s="51" t="s">
        <v>6</v>
      </c>
      <c r="F94" s="52">
        <v>1.4200000000000001E-2</v>
      </c>
      <c r="G94" s="52">
        <v>1.4200000000000001E-2</v>
      </c>
      <c r="H94" s="52">
        <v>1.4200000000000001E-2</v>
      </c>
      <c r="I94" s="52">
        <v>1.4200000000000001E-2</v>
      </c>
      <c r="J94" s="52">
        <v>1.4200000000000001E-2</v>
      </c>
      <c r="K94" s="52">
        <v>1.4200000000000001E-2</v>
      </c>
    </row>
    <row r="95" spans="2:13" ht="15.75" customHeight="1" x14ac:dyDescent="0.25"/>
    <row r="96" spans="2:13" ht="15.75" customHeight="1" x14ac:dyDescent="0.25">
      <c r="B96" s="42" t="s">
        <v>166</v>
      </c>
      <c r="C96" s="43"/>
      <c r="D96" s="43"/>
      <c r="E96" s="43"/>
      <c r="F96" s="44"/>
      <c r="G96" s="44"/>
      <c r="H96" s="44"/>
      <c r="I96" s="44"/>
      <c r="J96" s="44"/>
      <c r="K96" s="44"/>
    </row>
    <row r="97" spans="1:25" ht="15.75" customHeight="1" x14ac:dyDescent="0.25">
      <c r="B97" s="51" t="s">
        <v>167</v>
      </c>
      <c r="C97" s="90">
        <v>185000</v>
      </c>
      <c r="D97" s="90">
        <v>234600</v>
      </c>
      <c r="E97" s="90">
        <v>382300</v>
      </c>
      <c r="F97" s="94">
        <f t="shared" ref="F97:K97" ca="1" si="62">(F22+F9)*F98</f>
        <v>361178.39552766597</v>
      </c>
      <c r="G97" s="94">
        <f t="shared" ca="1" si="62"/>
        <v>431773.75530979258</v>
      </c>
      <c r="H97" s="94">
        <f t="shared" ca="1" si="62"/>
        <v>519753.55236464372</v>
      </c>
      <c r="I97" s="94">
        <f t="shared" ca="1" si="62"/>
        <v>619498.0053695906</v>
      </c>
      <c r="J97" s="94">
        <f t="shared" ca="1" si="62"/>
        <v>732197.18000291428</v>
      </c>
      <c r="K97" s="94">
        <f t="shared" ca="1" si="62"/>
        <v>858086.24566689867</v>
      </c>
    </row>
    <row r="98" spans="1:25" ht="15.75" customHeight="1" x14ac:dyDescent="0.25">
      <c r="B98" s="48" t="s">
        <v>31</v>
      </c>
      <c r="C98" s="56">
        <f>C97/(C22+C9)</f>
        <v>0.12627391610907063</v>
      </c>
      <c r="D98" s="56">
        <f>D97/(D22+D9)</f>
        <v>0.12675757263030607</v>
      </c>
      <c r="E98" s="56">
        <f>E97/(E22+E9)</f>
        <v>0.17739645299898843</v>
      </c>
      <c r="F98" s="56">
        <f t="shared" ref="F98:K98" ca="1" si="63">OFFSET(F98,MATCH($C$3,$B$99:$B$101,0),0)</f>
        <v>0.15210000000000001</v>
      </c>
      <c r="G98" s="56">
        <f t="shared" ca="1" si="63"/>
        <v>0.15210000000000001</v>
      </c>
      <c r="H98" s="56">
        <f t="shared" ca="1" si="63"/>
        <v>0.15210000000000001</v>
      </c>
      <c r="I98" s="56">
        <f t="shared" ca="1" si="63"/>
        <v>0.15210000000000001</v>
      </c>
      <c r="J98" s="56">
        <f t="shared" ca="1" si="63"/>
        <v>0.15210000000000001</v>
      </c>
      <c r="K98" s="56">
        <f t="shared" ca="1" si="63"/>
        <v>0.15210000000000001</v>
      </c>
      <c r="L98" s="62"/>
      <c r="M98" s="35" t="s">
        <v>72</v>
      </c>
    </row>
    <row r="99" spans="1:25" ht="15.75" customHeight="1" x14ac:dyDescent="0.25">
      <c r="B99" s="51" t="s">
        <v>4</v>
      </c>
      <c r="F99" s="52">
        <v>0.15210000000000001</v>
      </c>
      <c r="G99" s="52">
        <v>0.15210000000000001</v>
      </c>
      <c r="H99" s="52">
        <v>0.15210000000000001</v>
      </c>
      <c r="I99" s="52">
        <v>0.15210000000000001</v>
      </c>
      <c r="J99" s="52">
        <v>0.15210000000000001</v>
      </c>
      <c r="K99" s="52">
        <v>0.15210000000000001</v>
      </c>
    </row>
    <row r="100" spans="1:25" ht="15.75" customHeight="1" x14ac:dyDescent="0.25">
      <c r="B100" s="51" t="s">
        <v>67</v>
      </c>
      <c r="F100" s="52">
        <f>15.2%</f>
        <v>0.152</v>
      </c>
      <c r="G100" s="52">
        <f t="shared" ref="G100:K100" si="64">15.2%</f>
        <v>0.152</v>
      </c>
      <c r="H100" s="52">
        <f t="shared" si="64"/>
        <v>0.152</v>
      </c>
      <c r="I100" s="52">
        <f t="shared" si="64"/>
        <v>0.152</v>
      </c>
      <c r="J100" s="52">
        <f t="shared" si="64"/>
        <v>0.152</v>
      </c>
      <c r="K100" s="52">
        <f t="shared" si="64"/>
        <v>0.152</v>
      </c>
    </row>
    <row r="101" spans="1:25" ht="15.75" customHeight="1" x14ac:dyDescent="0.25">
      <c r="B101" s="51" t="s">
        <v>6</v>
      </c>
      <c r="F101" s="52">
        <f>15.2%</f>
        <v>0.152</v>
      </c>
      <c r="G101" s="52">
        <f t="shared" ref="G101:K101" si="65">15.2%</f>
        <v>0.152</v>
      </c>
      <c r="H101" s="52">
        <f t="shared" si="65"/>
        <v>0.152</v>
      </c>
      <c r="I101" s="52">
        <f t="shared" si="65"/>
        <v>0.152</v>
      </c>
      <c r="J101" s="52">
        <f t="shared" si="65"/>
        <v>0.152</v>
      </c>
      <c r="K101" s="52">
        <f t="shared" si="65"/>
        <v>0.152</v>
      </c>
    </row>
    <row r="102" spans="1:25" ht="15.75" customHeight="1" x14ac:dyDescent="0.25"/>
    <row r="103" spans="1:25" ht="15.75" customHeight="1" x14ac:dyDescent="0.25"/>
    <row r="104" spans="1:25" ht="15.75" customHeight="1" x14ac:dyDescent="0.25">
      <c r="B104" s="42" t="s">
        <v>73</v>
      </c>
      <c r="C104" s="43"/>
      <c r="D104" s="43"/>
      <c r="E104" s="43"/>
      <c r="F104" s="44"/>
      <c r="G104" s="44"/>
      <c r="H104" s="44"/>
      <c r="I104" s="44"/>
      <c r="J104" s="44"/>
      <c r="K104" s="44"/>
    </row>
    <row r="105" spans="1:25" ht="15.75" customHeight="1" x14ac:dyDescent="0.25">
      <c r="B105" s="35" t="s">
        <v>73</v>
      </c>
      <c r="C105" s="113">
        <f>'Operating Build'!C27</f>
        <v>-13995</v>
      </c>
      <c r="D105" s="113">
        <f>'Operating Build'!D27</f>
        <v>-84921</v>
      </c>
      <c r="E105" s="113">
        <f>'Operating Build'!E27</f>
        <v>-21390</v>
      </c>
      <c r="F105" s="94">
        <f ca="1">-'Operating Build'!F26*Assumptions!F106</f>
        <v>-137438.59215106972</v>
      </c>
      <c r="G105" s="94">
        <f ca="1">-'Operating Build'!G26*Assumptions!G106</f>
        <v>-183242.04058377055</v>
      </c>
      <c r="H105" s="94">
        <f ca="1">-'Operating Build'!H26*Assumptions!H106</f>
        <v>-240330.06828637849</v>
      </c>
      <c r="I105" s="94">
        <f ca="1">-'Operating Build'!I26*Assumptions!I106</f>
        <v>-300525.04958801315</v>
      </c>
      <c r="J105" s="94">
        <f ca="1">-'Operating Build'!J26*Assumptions!J106</f>
        <v>-370458.42132934061</v>
      </c>
      <c r="K105" s="94">
        <f ca="1">-'Operating Build'!K26*Assumptions!K106</f>
        <v>-452290.3400867841</v>
      </c>
    </row>
    <row r="106" spans="1:25" ht="15.75" customHeight="1" x14ac:dyDescent="0.25">
      <c r="B106" s="51" t="s">
        <v>87</v>
      </c>
      <c r="C106" s="114">
        <f>'Operating Build'!C28</f>
        <v>3.5520935651141013E-2</v>
      </c>
      <c r="D106" s="114">
        <f>'Operating Build'!D28</f>
        <v>0.16576064148534778</v>
      </c>
      <c r="E106" s="114">
        <f>'Operating Build'!E28</f>
        <v>4.201565127205871E-2</v>
      </c>
      <c r="F106" s="49">
        <f t="shared" ref="F106:K106" ca="1" si="66">OFFSET(F106,MATCH($C$3,$B$107:$B$109,0),0)</f>
        <v>0.21</v>
      </c>
      <c r="G106" s="49">
        <f t="shared" ca="1" si="66"/>
        <v>0.21</v>
      </c>
      <c r="H106" s="49">
        <f t="shared" ca="1" si="66"/>
        <v>0.21</v>
      </c>
      <c r="I106" s="49">
        <f t="shared" ca="1" si="66"/>
        <v>0.21</v>
      </c>
      <c r="J106" s="49">
        <f t="shared" ca="1" si="66"/>
        <v>0.21</v>
      </c>
      <c r="K106" s="49">
        <f t="shared" ca="1" si="66"/>
        <v>0.21</v>
      </c>
    </row>
    <row r="107" spans="1:25" ht="15.75" customHeight="1" x14ac:dyDescent="0.25">
      <c r="B107" s="51" t="s">
        <v>4</v>
      </c>
      <c r="C107" s="62"/>
      <c r="D107" s="62"/>
      <c r="E107" s="62"/>
      <c r="F107" s="115">
        <f>21%</f>
        <v>0.21</v>
      </c>
      <c r="G107" s="115">
        <f>F107</f>
        <v>0.21</v>
      </c>
      <c r="H107" s="115">
        <f t="shared" ref="H107:K107" si="67">G107</f>
        <v>0.21</v>
      </c>
      <c r="I107" s="115">
        <f t="shared" si="67"/>
        <v>0.21</v>
      </c>
      <c r="J107" s="115">
        <f t="shared" si="67"/>
        <v>0.21</v>
      </c>
      <c r="K107" s="115">
        <f t="shared" si="67"/>
        <v>0.21</v>
      </c>
      <c r="M107" s="62"/>
    </row>
    <row r="108" spans="1:25" ht="15.75" customHeight="1" x14ac:dyDescent="0.25">
      <c r="B108" s="51" t="s">
        <v>67</v>
      </c>
      <c r="F108" s="115">
        <v>0.21</v>
      </c>
      <c r="G108" s="115">
        <f>F108</f>
        <v>0.21</v>
      </c>
      <c r="H108" s="115">
        <f t="shared" ref="H108:K108" si="68">G108</f>
        <v>0.21</v>
      </c>
      <c r="I108" s="115">
        <f t="shared" si="68"/>
        <v>0.21</v>
      </c>
      <c r="J108" s="115">
        <f t="shared" si="68"/>
        <v>0.21</v>
      </c>
      <c r="K108" s="115">
        <f t="shared" si="68"/>
        <v>0.21</v>
      </c>
    </row>
    <row r="109" spans="1:25" ht="15.75" customHeight="1" x14ac:dyDescent="0.25">
      <c r="B109" s="51" t="s">
        <v>6</v>
      </c>
      <c r="F109" s="115">
        <v>0.21</v>
      </c>
      <c r="G109" s="115">
        <f>F109</f>
        <v>0.21</v>
      </c>
      <c r="H109" s="115">
        <f t="shared" ref="H109:K109" si="69">G109</f>
        <v>0.21</v>
      </c>
      <c r="I109" s="115">
        <f t="shared" si="69"/>
        <v>0.21</v>
      </c>
      <c r="J109" s="115">
        <f t="shared" si="69"/>
        <v>0.21</v>
      </c>
      <c r="K109" s="115">
        <f t="shared" si="69"/>
        <v>0.21</v>
      </c>
    </row>
    <row r="110" spans="1:25" ht="15.75" customHeight="1" x14ac:dyDescent="0.25"/>
    <row r="111" spans="1:25" ht="15.75" customHeight="1" x14ac:dyDescent="0.25"/>
    <row r="112" spans="1:25" ht="15.75" customHeight="1" x14ac:dyDescent="0.25">
      <c r="A112" s="223"/>
      <c r="B112" s="224"/>
      <c r="C112" s="225"/>
      <c r="D112" s="225"/>
      <c r="E112" s="225"/>
      <c r="F112" s="226"/>
      <c r="G112" s="226"/>
      <c r="H112" s="226"/>
      <c r="I112" s="226"/>
      <c r="J112" s="226"/>
      <c r="K112" s="226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</row>
    <row r="113" spans="1:25" ht="15.75" customHeight="1" x14ac:dyDescent="0.25">
      <c r="A113" s="223"/>
      <c r="B113" s="223"/>
      <c r="C113" s="223"/>
      <c r="D113" s="223"/>
      <c r="E113" s="227"/>
      <c r="F113" s="228"/>
      <c r="G113" s="228"/>
      <c r="H113" s="228"/>
      <c r="I113" s="228"/>
      <c r="J113" s="228"/>
      <c r="K113" s="228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</row>
    <row r="114" spans="1:25" ht="15.75" customHeight="1" x14ac:dyDescent="0.25">
      <c r="A114" s="223"/>
      <c r="B114" s="229"/>
      <c r="C114" s="223"/>
      <c r="D114" s="223"/>
      <c r="E114" s="223"/>
      <c r="F114" s="230"/>
      <c r="G114" s="230"/>
      <c r="H114" s="230"/>
      <c r="I114" s="230"/>
      <c r="J114" s="230"/>
      <c r="K114" s="230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</row>
    <row r="115" spans="1:25" ht="15.75" customHeight="1" x14ac:dyDescent="0.25">
      <c r="A115" s="223"/>
      <c r="B115" s="229"/>
      <c r="C115" s="223"/>
      <c r="D115" s="223"/>
      <c r="E115" s="223"/>
      <c r="F115" s="230"/>
      <c r="G115" s="230"/>
      <c r="H115" s="230"/>
      <c r="I115" s="230"/>
      <c r="J115" s="230"/>
      <c r="K115" s="230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</row>
    <row r="116" spans="1:25" ht="15.75" customHeight="1" x14ac:dyDescent="0.25">
      <c r="A116" s="223"/>
      <c r="B116" s="229"/>
      <c r="C116" s="223"/>
      <c r="D116" s="223"/>
      <c r="E116" s="223"/>
      <c r="F116" s="230"/>
      <c r="G116" s="230"/>
      <c r="H116" s="230"/>
      <c r="I116" s="230"/>
      <c r="J116" s="230"/>
      <c r="K116" s="230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</row>
    <row r="117" spans="1:25" ht="15.75" customHeight="1" x14ac:dyDescent="0.25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</row>
    <row r="118" spans="1:25" ht="15.75" customHeight="1" x14ac:dyDescent="0.25"/>
    <row r="119" spans="1:25" ht="15.75" customHeight="1" x14ac:dyDescent="0.25"/>
    <row r="120" spans="1:25" ht="15.75" customHeight="1" x14ac:dyDescent="0.25"/>
    <row r="121" spans="1:25" ht="15.75" customHeight="1" x14ac:dyDescent="0.25"/>
    <row r="122" spans="1:25" ht="15.75" customHeight="1" x14ac:dyDescent="0.25">
      <c r="F122" s="61"/>
      <c r="G122" s="61"/>
      <c r="H122" s="61"/>
      <c r="I122" s="61"/>
      <c r="J122" s="61"/>
      <c r="K122" s="61"/>
    </row>
    <row r="123" spans="1:25" ht="15.75" customHeight="1" x14ac:dyDescent="0.25"/>
    <row r="124" spans="1:25" ht="15.75" customHeight="1" x14ac:dyDescent="0.25"/>
    <row r="125" spans="1:25" ht="15.75" customHeight="1" x14ac:dyDescent="0.25"/>
    <row r="126" spans="1:25" ht="15.75" customHeight="1" x14ac:dyDescent="0.25"/>
    <row r="127" spans="1:25" ht="15.75" customHeight="1" x14ac:dyDescent="0.25"/>
    <row r="128" spans="1:2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3">
    <mergeCell ref="C5:E5"/>
    <mergeCell ref="F5:K5"/>
    <mergeCell ref="M11:Z11"/>
  </mergeCells>
  <dataValidations disablePrompts="1" count="1">
    <dataValidation type="list" allowBlank="1" showInputMessage="1" showErrorMessage="1" sqref="D3" xr:uid="{5812DE07-09B2-4FED-BB17-C7DA0A74FCB4}">
      <formula1>"Base,Bull,Bear"</formula1>
    </dataValidation>
  </dataValidation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FE0AB-B893-4F12-9F8F-B0B30306B508}">
  <dimension ref="F5:Q21"/>
  <sheetViews>
    <sheetView workbookViewId="0">
      <selection activeCell="Q8" sqref="Q8"/>
    </sheetView>
  </sheetViews>
  <sheetFormatPr defaultColWidth="8.85546875" defaultRowHeight="15" x14ac:dyDescent="0.25"/>
  <cols>
    <col min="7" max="7" width="7.42578125" bestFit="1" customWidth="1"/>
    <col min="8" max="8" width="23.42578125" bestFit="1" customWidth="1"/>
    <col min="9" max="10" width="12.7109375" bestFit="1" customWidth="1"/>
    <col min="11" max="11" width="5.85546875" bestFit="1" customWidth="1"/>
    <col min="12" max="12" width="9.140625" customWidth="1"/>
    <col min="13" max="13" width="11.42578125" customWidth="1"/>
    <col min="14" max="14" width="10.140625" customWidth="1"/>
    <col min="15" max="15" width="9" customWidth="1"/>
    <col min="16" max="16" width="6.28515625" bestFit="1" customWidth="1"/>
  </cols>
  <sheetData>
    <row r="5" spans="6:17" x14ac:dyDescent="0.25"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6:17" x14ac:dyDescent="0.25"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6:17" x14ac:dyDescent="0.25">
      <c r="F7" s="204"/>
      <c r="G7" s="199"/>
      <c r="H7" s="199"/>
      <c r="I7" s="200"/>
      <c r="J7" s="199"/>
      <c r="K7" s="221" t="s">
        <v>118</v>
      </c>
      <c r="L7" s="222"/>
      <c r="M7" s="221" t="s">
        <v>119</v>
      </c>
      <c r="N7" s="222"/>
      <c r="O7" s="221" t="s">
        <v>120</v>
      </c>
      <c r="P7" s="222"/>
      <c r="Q7" s="3"/>
    </row>
    <row r="8" spans="6:17" x14ac:dyDescent="0.25">
      <c r="F8" s="204"/>
      <c r="G8" s="199" t="s">
        <v>121</v>
      </c>
      <c r="H8" s="199" t="s">
        <v>122</v>
      </c>
      <c r="I8" s="199" t="s">
        <v>123</v>
      </c>
      <c r="J8" s="199" t="s">
        <v>124</v>
      </c>
      <c r="K8" s="201" t="s">
        <v>125</v>
      </c>
      <c r="L8" s="201" t="s">
        <v>126</v>
      </c>
      <c r="M8" s="199" t="s">
        <v>125</v>
      </c>
      <c r="N8" s="199" t="s">
        <v>126</v>
      </c>
      <c r="O8" s="199" t="s">
        <v>125</v>
      </c>
      <c r="P8" s="199" t="s">
        <v>126</v>
      </c>
      <c r="Q8" s="3"/>
    </row>
    <row r="9" spans="6:17" x14ac:dyDescent="0.25">
      <c r="F9" s="204"/>
      <c r="G9" s="4" t="s">
        <v>132</v>
      </c>
      <c r="H9" s="4" t="s">
        <v>133</v>
      </c>
      <c r="I9" s="5">
        <v>855400</v>
      </c>
      <c r="J9" s="5">
        <v>1219300</v>
      </c>
      <c r="K9" s="6">
        <f>1219.29/238.14</f>
        <v>5.1200554295792395</v>
      </c>
      <c r="L9" s="6">
        <v>4.59</v>
      </c>
      <c r="M9" s="6">
        <f>1219.29/19.59</f>
        <v>62.240428790199083</v>
      </c>
      <c r="N9" s="6">
        <v>16.760000000000002</v>
      </c>
      <c r="O9" s="6" t="s">
        <v>143</v>
      </c>
      <c r="P9" s="6">
        <v>33.81</v>
      </c>
      <c r="Q9" s="7"/>
    </row>
    <row r="10" spans="6:17" x14ac:dyDescent="0.25">
      <c r="F10" s="204"/>
      <c r="G10" s="4" t="s">
        <v>134</v>
      </c>
      <c r="H10" s="4" t="s">
        <v>135</v>
      </c>
      <c r="I10" s="5">
        <v>196419500</v>
      </c>
      <c r="J10" s="5">
        <v>197923500</v>
      </c>
      <c r="K10" s="6">
        <v>6</v>
      </c>
      <c r="L10" s="6">
        <v>5.4</v>
      </c>
      <c r="M10" s="6">
        <v>22.2</v>
      </c>
      <c r="N10" s="6">
        <v>15.29</v>
      </c>
      <c r="O10" s="6">
        <v>126.5</v>
      </c>
      <c r="P10" s="6">
        <v>23.1</v>
      </c>
      <c r="Q10" s="3"/>
    </row>
    <row r="11" spans="6:17" x14ac:dyDescent="0.25">
      <c r="F11" s="204"/>
      <c r="G11" s="4" t="s">
        <v>136</v>
      </c>
      <c r="H11" s="4" t="s">
        <v>137</v>
      </c>
      <c r="I11" s="32">
        <v>4135700</v>
      </c>
      <c r="J11" s="5">
        <v>3278100</v>
      </c>
      <c r="K11" s="6">
        <v>7.5</v>
      </c>
      <c r="L11" s="6">
        <v>6.94</v>
      </c>
      <c r="M11" s="6">
        <v>23</v>
      </c>
      <c r="N11" s="6">
        <v>15.8</v>
      </c>
      <c r="O11" s="6">
        <v>37.9</v>
      </c>
      <c r="P11" s="6">
        <v>26.2</v>
      </c>
      <c r="Q11" s="3"/>
    </row>
    <row r="12" spans="6:17" x14ac:dyDescent="0.25">
      <c r="F12" s="204"/>
      <c r="G12" s="4" t="s">
        <v>138</v>
      </c>
      <c r="H12" s="4" t="s">
        <v>139</v>
      </c>
      <c r="I12" s="5">
        <v>1595000</v>
      </c>
      <c r="J12" s="5">
        <v>1650900</v>
      </c>
      <c r="K12" s="6">
        <v>2.4</v>
      </c>
      <c r="L12" s="6">
        <v>2.2599999999999998</v>
      </c>
      <c r="M12" s="6">
        <v>28.3</v>
      </c>
      <c r="N12" s="6">
        <v>12.26</v>
      </c>
      <c r="O12" s="6" t="s">
        <v>143</v>
      </c>
      <c r="P12" s="6">
        <v>20.440000000000001</v>
      </c>
      <c r="Q12" s="3"/>
    </row>
    <row r="13" spans="6:17" x14ac:dyDescent="0.25">
      <c r="F13" s="204"/>
      <c r="G13" s="4" t="s">
        <v>141</v>
      </c>
      <c r="H13" s="4" t="s">
        <v>140</v>
      </c>
      <c r="I13" s="5">
        <v>35970700</v>
      </c>
      <c r="J13" s="5">
        <v>48497700</v>
      </c>
      <c r="K13" s="6">
        <f>48497700/14681000</f>
        <v>3.3034330086506367</v>
      </c>
      <c r="L13" s="6">
        <f>48497700/15686180</f>
        <v>3.0917470027756919</v>
      </c>
      <c r="M13" s="6">
        <f>48497700/2789500</f>
        <v>17.385803907510308</v>
      </c>
      <c r="N13" s="6">
        <f>48497700/3764480</f>
        <v>12.882974540972459</v>
      </c>
      <c r="O13" s="6">
        <f>196.43/5.816</f>
        <v>33.77407152682256</v>
      </c>
      <c r="P13" s="6">
        <f>196.43/10.69</f>
        <v>18.375116931711883</v>
      </c>
      <c r="Q13" s="3"/>
    </row>
    <row r="14" spans="6:17" x14ac:dyDescent="0.25">
      <c r="F14" s="204"/>
      <c r="G14" s="199" t="s">
        <v>142</v>
      </c>
      <c r="H14" s="199" t="s">
        <v>7</v>
      </c>
      <c r="I14" s="202">
        <v>32208200</v>
      </c>
      <c r="J14" s="202">
        <v>28389000</v>
      </c>
      <c r="K14" s="203">
        <v>12.7</v>
      </c>
      <c r="L14" s="203">
        <v>10.89</v>
      </c>
      <c r="M14" s="203">
        <v>64</v>
      </c>
      <c r="N14" s="203">
        <v>28.95</v>
      </c>
      <c r="O14" s="203">
        <v>60.4</v>
      </c>
      <c r="P14" s="203">
        <v>38.42</v>
      </c>
    </row>
    <row r="15" spans="6:17" x14ac:dyDescent="0.25">
      <c r="F15" s="204"/>
      <c r="G15" s="8"/>
      <c r="H15" s="8"/>
      <c r="I15" s="9"/>
      <c r="J15" s="9"/>
      <c r="K15" s="10"/>
      <c r="L15" s="10"/>
      <c r="M15" s="10"/>
      <c r="N15" s="10"/>
      <c r="O15" s="11"/>
      <c r="P15" s="11"/>
      <c r="Q15" s="8"/>
    </row>
    <row r="16" spans="6:17" x14ac:dyDescent="0.25">
      <c r="F16" s="204"/>
      <c r="G16" s="8"/>
      <c r="H16" s="12" t="s">
        <v>127</v>
      </c>
      <c r="I16" s="13">
        <f>_xlfn.QUARTILE.INC(I9:I14,3)</f>
        <v>35030075</v>
      </c>
      <c r="J16" s="13">
        <f t="shared" ref="J16:P16" si="0">_xlfn.QUARTILE.INC(J9:J14,3)</f>
        <v>43470525</v>
      </c>
      <c r="K16" s="13">
        <f t="shared" si="0"/>
        <v>7.125</v>
      </c>
      <c r="L16" s="13">
        <f t="shared" si="0"/>
        <v>6.5550000000000006</v>
      </c>
      <c r="M16" s="13">
        <f t="shared" si="0"/>
        <v>53.75532159264931</v>
      </c>
      <c r="N16" s="13">
        <f t="shared" si="0"/>
        <v>16.520000000000003</v>
      </c>
      <c r="O16" s="13">
        <f t="shared" si="0"/>
        <v>76.924999999999997</v>
      </c>
      <c r="P16" s="13">
        <f t="shared" si="0"/>
        <v>31.907500000000002</v>
      </c>
      <c r="Q16" s="8"/>
    </row>
    <row r="17" spans="6:17" x14ac:dyDescent="0.25">
      <c r="F17" s="204"/>
      <c r="G17" s="8"/>
      <c r="H17" s="14" t="s">
        <v>128</v>
      </c>
      <c r="I17" s="15">
        <f>AVERAGE(I9:I14)</f>
        <v>45197416.666666664</v>
      </c>
      <c r="J17" s="15">
        <f t="shared" ref="J17:P17" si="1">AVERAGE(J9:J14)</f>
        <v>46826416.666666664</v>
      </c>
      <c r="K17" s="15">
        <f t="shared" si="1"/>
        <v>6.170581406371646</v>
      </c>
      <c r="L17" s="15">
        <f t="shared" si="1"/>
        <v>5.5286245004626151</v>
      </c>
      <c r="M17" s="15">
        <f t="shared" si="1"/>
        <v>36.187705449618228</v>
      </c>
      <c r="N17" s="15">
        <f t="shared" si="1"/>
        <v>16.990495756828743</v>
      </c>
      <c r="O17" s="15">
        <f t="shared" si="1"/>
        <v>64.643517881705634</v>
      </c>
      <c r="P17" s="15">
        <f t="shared" si="1"/>
        <v>26.724186155285313</v>
      </c>
      <c r="Q17" s="8"/>
    </row>
    <row r="18" spans="6:17" x14ac:dyDescent="0.25">
      <c r="F18" s="204"/>
      <c r="G18" s="8"/>
      <c r="H18" s="14" t="s">
        <v>129</v>
      </c>
      <c r="I18" s="15">
        <f>MEDIAN(I9:I14)</f>
        <v>18171950</v>
      </c>
      <c r="J18" s="15">
        <f t="shared" ref="J18:P18" si="2">MEDIAN(J9:J14)</f>
        <v>15833550</v>
      </c>
      <c r="K18" s="15">
        <f t="shared" si="2"/>
        <v>5.5600277147896193</v>
      </c>
      <c r="L18" s="15">
        <f t="shared" si="2"/>
        <v>4.9950000000000001</v>
      </c>
      <c r="M18" s="15">
        <f t="shared" si="2"/>
        <v>25.65</v>
      </c>
      <c r="N18" s="15">
        <f t="shared" si="2"/>
        <v>15.545</v>
      </c>
      <c r="O18" s="15">
        <f t="shared" si="2"/>
        <v>49.15</v>
      </c>
      <c r="P18" s="15">
        <f t="shared" si="2"/>
        <v>24.65</v>
      </c>
      <c r="Q18" s="8"/>
    </row>
    <row r="19" spans="6:17" x14ac:dyDescent="0.25">
      <c r="F19" s="204"/>
      <c r="G19" s="8"/>
      <c r="H19" s="16" t="s">
        <v>130</v>
      </c>
      <c r="I19" s="17">
        <f>_xlfn.QUARTILE.INC(I9:I14,1)</f>
        <v>2230175</v>
      </c>
      <c r="J19" s="17">
        <f t="shared" ref="J19:P19" si="3">_xlfn.QUARTILE.INC(J9:J14,1)</f>
        <v>2057700</v>
      </c>
      <c r="K19" s="17">
        <f t="shared" si="3"/>
        <v>3.7575886138827874</v>
      </c>
      <c r="L19" s="17">
        <f t="shared" si="3"/>
        <v>3.4663102520817688</v>
      </c>
      <c r="M19" s="17">
        <f t="shared" si="3"/>
        <v>22.4</v>
      </c>
      <c r="N19" s="17">
        <f t="shared" si="3"/>
        <v>13.484730905729343</v>
      </c>
      <c r="O19" s="17">
        <f t="shared" si="3"/>
        <v>36.868517881705642</v>
      </c>
      <c r="P19" s="17">
        <f t="shared" si="3"/>
        <v>21.105</v>
      </c>
      <c r="Q19" s="8"/>
    </row>
    <row r="20" spans="6:17" x14ac:dyDescent="0.25">
      <c r="F20" s="204"/>
      <c r="G20" s="8"/>
      <c r="H20" s="8"/>
      <c r="I20" s="9"/>
      <c r="J20" s="9"/>
      <c r="K20" s="11"/>
      <c r="L20" s="11"/>
      <c r="M20" s="11"/>
      <c r="N20" s="11"/>
      <c r="O20" s="11"/>
      <c r="P20" s="11"/>
      <c r="Q20" s="8"/>
    </row>
    <row r="21" spans="6:17" x14ac:dyDescent="0.25">
      <c r="F21" s="204"/>
    </row>
  </sheetData>
  <mergeCells count="3">
    <mergeCell ref="K7:L7"/>
    <mergeCell ref="M7:N7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Master</vt:lpstr>
      <vt:lpstr>DCF</vt:lpstr>
      <vt:lpstr>Operating Build</vt:lpstr>
      <vt:lpstr>Assumptions</vt:lpstr>
      <vt:lpstr>Comps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Guarino</dc:creator>
  <cp:lastModifiedBy>Nick Carosi</cp:lastModifiedBy>
  <dcterms:created xsi:type="dcterms:W3CDTF">2023-09-28T06:07:20Z</dcterms:created>
  <dcterms:modified xsi:type="dcterms:W3CDTF">2023-10-10T00:54:09Z</dcterms:modified>
</cp:coreProperties>
</file>