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oran\Desktop\"/>
    </mc:Choice>
  </mc:AlternateContent>
  <xr:revisionPtr revIDLastSave="0" documentId="8_{9C719945-0132-401F-8897-2A6D614D8337}" xr6:coauthVersionLast="47" xr6:coauthVersionMax="47" xr10:uidLastSave="{00000000-0000-0000-0000-000000000000}"/>
  <bookViews>
    <workbookView xWindow="28680" yWindow="-120" windowWidth="29040" windowHeight="15720" tabRatio="962" activeTab="13" xr2:uid="{4B1A2D3D-1B84-482A-8441-A1F6F8212EDF}"/>
  </bookViews>
  <sheets>
    <sheet name="Cover" sheetId="1" r:id="rId1"/>
    <sheet name="Assumptions&gt;&gt;" sheetId="33" r:id="rId2"/>
    <sheet name="AER_Assumptions" sheetId="2" r:id="rId3"/>
    <sheet name="Financials&gt;&gt;" sheetId="23" r:id="rId4"/>
    <sheet name="AER_Hist_IS" sheetId="9" state="hidden" r:id="rId5"/>
    <sheet name="AER_IS" sheetId="22" r:id="rId6"/>
    <sheet name="AER_BS" sheetId="10" r:id="rId7"/>
    <sheet name="AER_Proj_BS" sheetId="32" state="hidden" r:id="rId8"/>
    <sheet name="AER_CF" sheetId="11" r:id="rId9"/>
    <sheet name="AER_Debt" sheetId="34" r:id="rId10"/>
    <sheet name="AER_Equity" sheetId="35" r:id="rId11"/>
    <sheet name="Valuation&gt;&gt;" sheetId="24" r:id="rId12"/>
    <sheet name="AER_Proj_CF" sheetId="31" state="hidden" r:id="rId13"/>
    <sheet name="AER_WACC" sheetId="12" r:id="rId14"/>
    <sheet name="AER_NWC" sheetId="25" r:id="rId15"/>
    <sheet name="AER_DCF" sheetId="5" r:id="rId1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45211.6055092593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AER_Assumptions!$B$2:$M$92</definedName>
    <definedName name="_xlnm.Print_Area" localSheetId="6">AER_BS!$C$5:$L$41</definedName>
    <definedName name="_xlnm.Print_Area" localSheetId="8">AER_CF!$B$5:$I$55</definedName>
    <definedName name="_xlnm.Print_Area" localSheetId="15">AER_DCF!$B$2:$K$36,AER_DCF!$L$2:$Q$31,AER_DCF!$L$34:$S$53</definedName>
    <definedName name="_xlnm.Print_Area" localSheetId="4">AER_Hist_IS!$B$2:$N$38</definedName>
    <definedName name="_xlnm.Print_Area" localSheetId="5">AER_IS!$B$2:$N$56</definedName>
    <definedName name="_xlnm.Print_Area" localSheetId="14">AER_NWC!$B$2:$O$33</definedName>
    <definedName name="_xlnm.Print_Area" localSheetId="7">AER_Proj_BS!$B$2:$M$43</definedName>
    <definedName name="_xlnm.Print_Area" localSheetId="12">AER_Proj_CF!$B$2:$L$52</definedName>
    <definedName name="_xlnm.Print_Area" localSheetId="13">AER_WACC!$B$2:$H$30</definedName>
  </definedNames>
  <calcPr calcId="191029" iterate="1" iterateCount="100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5" l="1"/>
  <c r="G5" i="35"/>
  <c r="H10" i="2"/>
  <c r="H9" i="2"/>
  <c r="I12" i="22"/>
  <c r="H16" i="2"/>
  <c r="H15" i="2"/>
  <c r="I13" i="22"/>
  <c r="H22" i="2"/>
  <c r="H21" i="2"/>
  <c r="I14" i="22"/>
  <c r="I15" i="22"/>
  <c r="H34" i="2"/>
  <c r="H33" i="2"/>
  <c r="I18" i="22"/>
  <c r="H71" i="2"/>
  <c r="H70" i="2"/>
  <c r="I19" i="22"/>
  <c r="H40" i="2"/>
  <c r="H39" i="2"/>
  <c r="I20" i="22"/>
  <c r="H137" i="2"/>
  <c r="H136" i="2"/>
  <c r="D10" i="34"/>
  <c r="D12" i="34"/>
  <c r="D96" i="34"/>
  <c r="D106" i="34"/>
  <c r="D41" i="34"/>
  <c r="D43" i="34"/>
  <c r="D97" i="34"/>
  <c r="D107" i="34"/>
  <c r="D110" i="34"/>
  <c r="I21" i="22"/>
  <c r="H46" i="2"/>
  <c r="H45" i="2"/>
  <c r="I23" i="22"/>
  <c r="H52" i="2"/>
  <c r="H51" i="2"/>
  <c r="I24" i="22"/>
  <c r="I26" i="22"/>
  <c r="I27" i="22"/>
  <c r="I30" i="22"/>
  <c r="H77" i="2"/>
  <c r="H76" i="2"/>
  <c r="I32" i="22"/>
  <c r="I34" i="22"/>
  <c r="G6" i="35"/>
  <c r="H89" i="2"/>
  <c r="H88" i="2"/>
  <c r="G7" i="35"/>
  <c r="G8" i="35"/>
  <c r="H5" i="35"/>
  <c r="I10" i="2"/>
  <c r="I9" i="2"/>
  <c r="J12" i="22"/>
  <c r="I16" i="2"/>
  <c r="I15" i="2"/>
  <c r="J13" i="22"/>
  <c r="I22" i="2"/>
  <c r="I21" i="2"/>
  <c r="J14" i="22"/>
  <c r="J15" i="22"/>
  <c r="I34" i="2"/>
  <c r="I33" i="2"/>
  <c r="J18" i="22"/>
  <c r="I71" i="2"/>
  <c r="I70" i="2"/>
  <c r="J19" i="22"/>
  <c r="I40" i="2"/>
  <c r="I39" i="2"/>
  <c r="J20" i="22"/>
  <c r="E9" i="34"/>
  <c r="E12" i="34"/>
  <c r="I137" i="2"/>
  <c r="I136" i="2"/>
  <c r="E16" i="34"/>
  <c r="E18" i="34"/>
  <c r="E96" i="34"/>
  <c r="E106" i="34"/>
  <c r="E40" i="34"/>
  <c r="E43" i="34"/>
  <c r="E47" i="34"/>
  <c r="E49" i="34"/>
  <c r="E97" i="34"/>
  <c r="E107" i="34"/>
  <c r="E110" i="34"/>
  <c r="J21" i="22"/>
  <c r="I46" i="2"/>
  <c r="I45" i="2"/>
  <c r="J23" i="22"/>
  <c r="I52" i="2"/>
  <c r="I51" i="2"/>
  <c r="J24" i="22"/>
  <c r="J26" i="22"/>
  <c r="J27" i="22"/>
  <c r="J30" i="22"/>
  <c r="I77" i="2"/>
  <c r="I76" i="2"/>
  <c r="J32" i="22"/>
  <c r="J34" i="22"/>
  <c r="H6" i="35"/>
  <c r="I89" i="2"/>
  <c r="I88" i="2"/>
  <c r="H7" i="35"/>
  <c r="H8" i="35"/>
  <c r="I5" i="35"/>
  <c r="J10" i="2"/>
  <c r="J9" i="2"/>
  <c r="K12" i="22"/>
  <c r="J16" i="2"/>
  <c r="J15" i="2"/>
  <c r="K13" i="22"/>
  <c r="J22" i="2"/>
  <c r="J21" i="2"/>
  <c r="K14" i="22"/>
  <c r="K15" i="22"/>
  <c r="J34" i="2"/>
  <c r="J33" i="2"/>
  <c r="K18" i="22"/>
  <c r="J71" i="2"/>
  <c r="J70" i="2"/>
  <c r="K19" i="22"/>
  <c r="J40" i="2"/>
  <c r="J39" i="2"/>
  <c r="K20" i="22"/>
  <c r="F9" i="34"/>
  <c r="F12" i="34"/>
  <c r="F15" i="34"/>
  <c r="F18" i="34"/>
  <c r="J137" i="2"/>
  <c r="J136" i="2"/>
  <c r="F22" i="34"/>
  <c r="F24" i="34"/>
  <c r="F96" i="34"/>
  <c r="F106" i="34"/>
  <c r="F40" i="34"/>
  <c r="F43" i="34"/>
  <c r="F46" i="34"/>
  <c r="F49" i="34"/>
  <c r="F53" i="34"/>
  <c r="F55" i="34"/>
  <c r="F97" i="34"/>
  <c r="F107" i="34"/>
  <c r="F110" i="34"/>
  <c r="K21" i="22"/>
  <c r="J46" i="2"/>
  <c r="J45" i="2"/>
  <c r="K23" i="22"/>
  <c r="J52" i="2"/>
  <c r="J51" i="2"/>
  <c r="K24" i="22"/>
  <c r="K26" i="22"/>
  <c r="K27" i="22"/>
  <c r="K30" i="22"/>
  <c r="J77" i="2"/>
  <c r="J76" i="2"/>
  <c r="K32" i="22"/>
  <c r="K34" i="22"/>
  <c r="I6" i="35"/>
  <c r="J89" i="2"/>
  <c r="J88" i="2"/>
  <c r="I7" i="35"/>
  <c r="I8" i="35"/>
  <c r="J5" i="35"/>
  <c r="K10" i="2"/>
  <c r="K9" i="2"/>
  <c r="L12" i="22"/>
  <c r="K16" i="2"/>
  <c r="K15" i="2"/>
  <c r="L13" i="22"/>
  <c r="K22" i="2"/>
  <c r="K21" i="2"/>
  <c r="L14" i="22"/>
  <c r="L15" i="22"/>
  <c r="K34" i="2"/>
  <c r="K33" i="2"/>
  <c r="L18" i="22"/>
  <c r="K71" i="2"/>
  <c r="K70" i="2"/>
  <c r="L19" i="22"/>
  <c r="K40" i="2"/>
  <c r="K39" i="2"/>
  <c r="L20" i="22"/>
  <c r="G9" i="34"/>
  <c r="G12" i="34"/>
  <c r="G15" i="34"/>
  <c r="G18" i="34"/>
  <c r="G21" i="34"/>
  <c r="G24" i="34"/>
  <c r="K137" i="2"/>
  <c r="K136" i="2"/>
  <c r="G28" i="34"/>
  <c r="G30" i="34"/>
  <c r="G96" i="34"/>
  <c r="G106" i="34"/>
  <c r="G40" i="34"/>
  <c r="G43" i="34"/>
  <c r="G46" i="34"/>
  <c r="G49" i="34"/>
  <c r="G52" i="34"/>
  <c r="G55" i="34"/>
  <c r="G59" i="34"/>
  <c r="G61" i="34"/>
  <c r="G97" i="34"/>
  <c r="G107" i="34"/>
  <c r="G110" i="34"/>
  <c r="L21" i="22"/>
  <c r="K46" i="2"/>
  <c r="K45" i="2"/>
  <c r="L23" i="22"/>
  <c r="K52" i="2"/>
  <c r="K51" i="2"/>
  <c r="L24" i="22"/>
  <c r="L26" i="22"/>
  <c r="L27" i="22"/>
  <c r="L30" i="22"/>
  <c r="K77" i="2"/>
  <c r="K76" i="2"/>
  <c r="L32" i="22"/>
  <c r="L34" i="22"/>
  <c r="J6" i="35"/>
  <c r="K89" i="2"/>
  <c r="K88" i="2"/>
  <c r="J7" i="35"/>
  <c r="J8" i="35"/>
  <c r="K5" i="35"/>
  <c r="L10" i="2"/>
  <c r="L9" i="2"/>
  <c r="M12" i="22"/>
  <c r="L16" i="2"/>
  <c r="L15" i="2"/>
  <c r="M13" i="22"/>
  <c r="L22" i="2"/>
  <c r="L21" i="2"/>
  <c r="M14" i="22"/>
  <c r="M15" i="22"/>
  <c r="L34" i="2"/>
  <c r="L33" i="2"/>
  <c r="M18" i="22"/>
  <c r="L71" i="2"/>
  <c r="L70" i="2"/>
  <c r="M19" i="22"/>
  <c r="L40" i="2"/>
  <c r="L39" i="2"/>
  <c r="M20" i="22"/>
  <c r="H9" i="34"/>
  <c r="H12" i="34"/>
  <c r="H15" i="34"/>
  <c r="H18" i="34"/>
  <c r="H21" i="34"/>
  <c r="H24" i="34"/>
  <c r="H27" i="34"/>
  <c r="H30" i="34"/>
  <c r="L137" i="2"/>
  <c r="L136" i="2"/>
  <c r="H34" i="34"/>
  <c r="H36" i="34"/>
  <c r="H96" i="34"/>
  <c r="H106" i="34"/>
  <c r="H40" i="34"/>
  <c r="H43" i="34"/>
  <c r="H46" i="34"/>
  <c r="H49" i="34"/>
  <c r="H52" i="34"/>
  <c r="H55" i="34"/>
  <c r="H58" i="34"/>
  <c r="H61" i="34"/>
  <c r="H65" i="34"/>
  <c r="H67" i="34"/>
  <c r="H97" i="34"/>
  <c r="H107" i="34"/>
  <c r="H110" i="34"/>
  <c r="M21" i="22"/>
  <c r="L46" i="2"/>
  <c r="L45" i="2"/>
  <c r="M23" i="22"/>
  <c r="L52" i="2"/>
  <c r="L51" i="2"/>
  <c r="M24" i="22"/>
  <c r="M26" i="22"/>
  <c r="M27" i="22"/>
  <c r="M30" i="22"/>
  <c r="L77" i="2"/>
  <c r="L76" i="2"/>
  <c r="M32" i="22"/>
  <c r="M34" i="22"/>
  <c r="K6" i="35"/>
  <c r="F7" i="35"/>
  <c r="L89" i="2"/>
  <c r="L88" i="2"/>
  <c r="K7" i="35"/>
  <c r="K8" i="35"/>
  <c r="F12" i="35"/>
  <c r="G10" i="35"/>
  <c r="H65" i="2"/>
  <c r="H64" i="2"/>
  <c r="G11" i="35"/>
  <c r="G12" i="35"/>
  <c r="H10" i="35"/>
  <c r="I65" i="2"/>
  <c r="I64" i="2"/>
  <c r="H11" i="35"/>
  <c r="H12" i="35"/>
  <c r="I10" i="35"/>
  <c r="J65" i="2"/>
  <c r="J64" i="2"/>
  <c r="I11" i="35"/>
  <c r="I12" i="35"/>
  <c r="J10" i="35"/>
  <c r="K65" i="2"/>
  <c r="K64" i="2"/>
  <c r="J11" i="35"/>
  <c r="J12" i="35"/>
  <c r="K10" i="35"/>
  <c r="F11" i="35"/>
  <c r="L65" i="2"/>
  <c r="L64" i="2"/>
  <c r="K11" i="35"/>
  <c r="K12" i="35"/>
  <c r="K66" i="2"/>
  <c r="L66" i="2"/>
  <c r="H168" i="2"/>
  <c r="E103" i="34"/>
  <c r="E102" i="34"/>
  <c r="D103" i="34"/>
  <c r="D102" i="34"/>
  <c r="E101" i="34"/>
  <c r="D101" i="34"/>
  <c r="H170" i="2"/>
  <c r="H169" i="2"/>
  <c r="G167" i="2"/>
  <c r="Q14" i="1"/>
  <c r="G3" i="12"/>
  <c r="G3" i="25"/>
  <c r="J4" i="5"/>
  <c r="G19" i="12"/>
  <c r="F102" i="34"/>
  <c r="G102" i="34"/>
  <c r="H102" i="34"/>
  <c r="F101" i="34"/>
  <c r="G101" i="34"/>
  <c r="H101" i="34"/>
  <c r="F103" i="34"/>
  <c r="G103" i="34"/>
  <c r="H103" i="34"/>
  <c r="H12" i="2"/>
  <c r="H13" i="2"/>
  <c r="I12" i="2"/>
  <c r="I138" i="2"/>
  <c r="K138" i="2"/>
  <c r="L138" i="2"/>
  <c r="D13" i="12"/>
  <c r="E5" i="2"/>
  <c r="I40" i="22"/>
  <c r="J40" i="22"/>
  <c r="K40" i="22"/>
  <c r="L40" i="22"/>
  <c r="M40" i="22"/>
  <c r="G7" i="12"/>
  <c r="M23" i="5"/>
  <c r="D4" i="11"/>
  <c r="J13" i="11"/>
  <c r="K13" i="11"/>
  <c r="L13" i="11"/>
  <c r="M13" i="11"/>
  <c r="I13" i="11"/>
  <c r="H167" i="2"/>
  <c r="H166" i="2"/>
  <c r="P5" i="5"/>
  <c r="P24" i="5"/>
  <c r="I168" i="2"/>
  <c r="I167" i="2"/>
  <c r="I166" i="2"/>
  <c r="J168" i="2"/>
  <c r="J167" i="2"/>
  <c r="J166" i="2"/>
  <c r="K168" i="2"/>
  <c r="K167" i="2"/>
  <c r="K166" i="2"/>
  <c r="L168" i="2"/>
  <c r="L167" i="2"/>
  <c r="L166" i="2"/>
  <c r="I170" i="2"/>
  <c r="J170" i="2"/>
  <c r="K170" i="2"/>
  <c r="L170" i="2"/>
  <c r="I169" i="2"/>
  <c r="J169" i="2"/>
  <c r="K169" i="2"/>
  <c r="L169" i="2"/>
  <c r="E166" i="2"/>
  <c r="F166" i="2"/>
  <c r="G166" i="2"/>
  <c r="D166" i="2"/>
  <c r="G64" i="2"/>
  <c r="I36" i="10"/>
  <c r="D108" i="34"/>
  <c r="I38" i="10"/>
  <c r="I40" i="10"/>
  <c r="I44" i="10"/>
  <c r="K17" i="2"/>
  <c r="D10" i="12"/>
  <c r="G8" i="12"/>
  <c r="G9" i="12"/>
  <c r="F25" i="12"/>
  <c r="G15" i="12"/>
  <c r="G16" i="12"/>
  <c r="F26" i="12"/>
  <c r="D14" i="12"/>
  <c r="D26" i="12"/>
  <c r="D27" i="12"/>
  <c r="E25" i="12"/>
  <c r="E26" i="12"/>
  <c r="F27" i="12"/>
  <c r="F29" i="12"/>
  <c r="F34" i="5"/>
  <c r="F29" i="5"/>
  <c r="F30" i="5"/>
  <c r="F11" i="5"/>
  <c r="F12" i="5"/>
  <c r="F9" i="5"/>
  <c r="F14" i="5"/>
  <c r="F16" i="5"/>
  <c r="F17" i="5"/>
  <c r="F20" i="5"/>
  <c r="F21" i="5"/>
  <c r="F22" i="5"/>
  <c r="H83" i="2"/>
  <c r="H82" i="2"/>
  <c r="F23" i="5"/>
  <c r="F24" i="5"/>
  <c r="H95" i="2"/>
  <c r="H94" i="2"/>
  <c r="H9" i="25"/>
  <c r="H10" i="25"/>
  <c r="H22" i="25"/>
  <c r="H13" i="25"/>
  <c r="H14" i="25"/>
  <c r="H15" i="25"/>
  <c r="H16" i="25"/>
  <c r="H18" i="25"/>
  <c r="H19" i="25"/>
  <c r="F25" i="5"/>
  <c r="F26" i="5"/>
  <c r="F31" i="5"/>
  <c r="G29" i="5"/>
  <c r="G30" i="5"/>
  <c r="E108" i="34"/>
  <c r="G11" i="5"/>
  <c r="G12" i="5"/>
  <c r="G9" i="5"/>
  <c r="G14" i="5"/>
  <c r="G16" i="5"/>
  <c r="G17" i="5"/>
  <c r="G20" i="5"/>
  <c r="G21" i="5"/>
  <c r="G22" i="5"/>
  <c r="I83" i="2"/>
  <c r="I82" i="2"/>
  <c r="G23" i="5"/>
  <c r="G24" i="5"/>
  <c r="I95" i="2"/>
  <c r="I94" i="2"/>
  <c r="I9" i="25"/>
  <c r="I10" i="25"/>
  <c r="I22" i="25"/>
  <c r="I13" i="25"/>
  <c r="I14" i="25"/>
  <c r="I15" i="25"/>
  <c r="I16" i="25"/>
  <c r="I18" i="25"/>
  <c r="I19" i="25"/>
  <c r="G25" i="5"/>
  <c r="G26" i="5"/>
  <c r="G31" i="5"/>
  <c r="H29" i="5"/>
  <c r="H30" i="5"/>
  <c r="F108" i="34"/>
  <c r="H11" i="5"/>
  <c r="H12" i="5"/>
  <c r="H9" i="5"/>
  <c r="H14" i="5"/>
  <c r="H16" i="5"/>
  <c r="H17" i="5"/>
  <c r="H20" i="5"/>
  <c r="H21" i="5"/>
  <c r="H22" i="5"/>
  <c r="J83" i="2"/>
  <c r="J82" i="2"/>
  <c r="H23" i="5"/>
  <c r="H24" i="5"/>
  <c r="J95" i="2"/>
  <c r="J94" i="2"/>
  <c r="J9" i="25"/>
  <c r="J10" i="25"/>
  <c r="J22" i="25"/>
  <c r="J13" i="25"/>
  <c r="J14" i="25"/>
  <c r="J15" i="25"/>
  <c r="J16" i="25"/>
  <c r="J18" i="25"/>
  <c r="J19" i="25"/>
  <c r="H25" i="5"/>
  <c r="H26" i="5"/>
  <c r="H31" i="5"/>
  <c r="I29" i="5"/>
  <c r="I30" i="5"/>
  <c r="G108" i="34"/>
  <c r="I11" i="5"/>
  <c r="I12" i="5"/>
  <c r="K11" i="2"/>
  <c r="I9" i="5"/>
  <c r="I14" i="5"/>
  <c r="I16" i="5"/>
  <c r="I17" i="5"/>
  <c r="I20" i="5"/>
  <c r="I21" i="5"/>
  <c r="I22" i="5"/>
  <c r="K83" i="2"/>
  <c r="K82" i="2"/>
  <c r="I23" i="5"/>
  <c r="I24" i="5"/>
  <c r="K95" i="2"/>
  <c r="K94" i="2"/>
  <c r="K9" i="25"/>
  <c r="K10" i="25"/>
  <c r="K22" i="25"/>
  <c r="K13" i="25"/>
  <c r="K14" i="25"/>
  <c r="K15" i="25"/>
  <c r="K16" i="25"/>
  <c r="K18" i="25"/>
  <c r="K19" i="25"/>
  <c r="I25" i="5"/>
  <c r="I26" i="5"/>
  <c r="I31" i="5"/>
  <c r="J29" i="5"/>
  <c r="J30" i="5"/>
  <c r="H108" i="34"/>
  <c r="J11" i="5"/>
  <c r="J12" i="5"/>
  <c r="L11" i="2"/>
  <c r="L17" i="2"/>
  <c r="J9" i="5"/>
  <c r="J14" i="5"/>
  <c r="J16" i="5"/>
  <c r="J17" i="5"/>
  <c r="J20" i="5"/>
  <c r="J21" i="5"/>
  <c r="J22" i="5"/>
  <c r="L83" i="2"/>
  <c r="L82" i="2"/>
  <c r="J23" i="5"/>
  <c r="J24" i="5"/>
  <c r="L95" i="2"/>
  <c r="L94" i="2"/>
  <c r="L9" i="25"/>
  <c r="L10" i="25"/>
  <c r="L22" i="25"/>
  <c r="L13" i="25"/>
  <c r="L14" i="25"/>
  <c r="L15" i="25"/>
  <c r="L16" i="25"/>
  <c r="L18" i="25"/>
  <c r="L19" i="25"/>
  <c r="J25" i="5"/>
  <c r="J26" i="5"/>
  <c r="J31" i="5"/>
  <c r="M16" i="5"/>
  <c r="M10" i="5"/>
  <c r="M12" i="5"/>
  <c r="M13" i="5"/>
  <c r="M18" i="5"/>
  <c r="M19" i="5"/>
  <c r="M20" i="5"/>
  <c r="M21" i="5"/>
  <c r="M22" i="5"/>
  <c r="M24" i="5"/>
  <c r="M28" i="5"/>
  <c r="J36" i="10"/>
  <c r="K36" i="10"/>
  <c r="L36" i="10"/>
  <c r="M36" i="10"/>
  <c r="M38" i="10"/>
  <c r="M40" i="10"/>
  <c r="P9" i="5"/>
  <c r="P10" i="5"/>
  <c r="P11" i="5"/>
  <c r="P15" i="5"/>
  <c r="P16" i="5"/>
  <c r="P17" i="5"/>
  <c r="P21" i="5"/>
  <c r="P22" i="5"/>
  <c r="P23" i="5"/>
  <c r="P25" i="5"/>
  <c r="M29" i="5"/>
  <c r="M30" i="5"/>
  <c r="U17" i="1"/>
  <c r="U18" i="1"/>
  <c r="U16" i="1"/>
  <c r="D160" i="2"/>
  <c r="D161" i="2"/>
  <c r="E160" i="2"/>
  <c r="E161" i="2"/>
  <c r="F160" i="2"/>
  <c r="F161" i="2"/>
  <c r="G160" i="2"/>
  <c r="G161" i="2"/>
  <c r="H162" i="2"/>
  <c r="I162" i="2"/>
  <c r="J162" i="2"/>
  <c r="K162" i="2"/>
  <c r="L162" i="2"/>
  <c r="L163" i="2"/>
  <c r="L164" i="2"/>
  <c r="K163" i="2"/>
  <c r="K164" i="2"/>
  <c r="J163" i="2"/>
  <c r="J164" i="2"/>
  <c r="I163" i="2"/>
  <c r="I164" i="2"/>
  <c r="H163" i="2"/>
  <c r="H164" i="2"/>
  <c r="D154" i="2"/>
  <c r="D155" i="2"/>
  <c r="E154" i="2"/>
  <c r="E155" i="2"/>
  <c r="F154" i="2"/>
  <c r="F155" i="2"/>
  <c r="G154" i="2"/>
  <c r="G155" i="2"/>
  <c r="H156" i="2"/>
  <c r="I156" i="2"/>
  <c r="J156" i="2"/>
  <c r="K156" i="2"/>
  <c r="L156" i="2"/>
  <c r="L157" i="2"/>
  <c r="L158" i="2"/>
  <c r="K157" i="2"/>
  <c r="K158" i="2"/>
  <c r="J157" i="2"/>
  <c r="J158" i="2"/>
  <c r="I157" i="2"/>
  <c r="I158" i="2"/>
  <c r="H157" i="2"/>
  <c r="H158" i="2"/>
  <c r="D142" i="2"/>
  <c r="D143" i="2"/>
  <c r="E142" i="2"/>
  <c r="E143" i="2"/>
  <c r="F142" i="2"/>
  <c r="F143" i="2"/>
  <c r="G142" i="2"/>
  <c r="G143" i="2"/>
  <c r="H144" i="2"/>
  <c r="I144" i="2"/>
  <c r="J144" i="2"/>
  <c r="K144" i="2"/>
  <c r="L144" i="2"/>
  <c r="L145" i="2"/>
  <c r="L146" i="2"/>
  <c r="K145" i="2"/>
  <c r="K146" i="2"/>
  <c r="J145" i="2"/>
  <c r="J146" i="2"/>
  <c r="I145" i="2"/>
  <c r="I146" i="2"/>
  <c r="H145" i="2"/>
  <c r="H146" i="2"/>
  <c r="E130" i="2"/>
  <c r="D130" i="2"/>
  <c r="E131" i="2"/>
  <c r="F130" i="2"/>
  <c r="F131" i="2"/>
  <c r="G130" i="2"/>
  <c r="G131" i="2"/>
  <c r="H132" i="2"/>
  <c r="I132" i="2"/>
  <c r="J132" i="2"/>
  <c r="K132" i="2"/>
  <c r="L132" i="2"/>
  <c r="L133" i="2"/>
  <c r="L134" i="2"/>
  <c r="K133" i="2"/>
  <c r="K134" i="2"/>
  <c r="J133" i="2"/>
  <c r="J134" i="2"/>
  <c r="I133" i="2"/>
  <c r="I134" i="2"/>
  <c r="H133" i="2"/>
  <c r="H134" i="2"/>
  <c r="D118" i="2"/>
  <c r="D119" i="2"/>
  <c r="E118" i="2"/>
  <c r="E119" i="2"/>
  <c r="F118" i="2"/>
  <c r="F119" i="2"/>
  <c r="G118" i="2"/>
  <c r="G119" i="2"/>
  <c r="H120" i="2"/>
  <c r="I120" i="2"/>
  <c r="J120" i="2"/>
  <c r="K120" i="2"/>
  <c r="L120" i="2"/>
  <c r="L121" i="2"/>
  <c r="L122" i="2"/>
  <c r="K121" i="2"/>
  <c r="K122" i="2"/>
  <c r="J121" i="2"/>
  <c r="J122" i="2"/>
  <c r="I121" i="2"/>
  <c r="I122" i="2"/>
  <c r="H121" i="2"/>
  <c r="H122" i="2"/>
  <c r="E112" i="2"/>
  <c r="D112" i="2"/>
  <c r="E113" i="2"/>
  <c r="F112" i="2"/>
  <c r="F113" i="2"/>
  <c r="G112" i="2"/>
  <c r="G113" i="2"/>
  <c r="H114" i="2"/>
  <c r="I114" i="2"/>
  <c r="J114" i="2"/>
  <c r="K114" i="2"/>
  <c r="L114" i="2"/>
  <c r="L115" i="2"/>
  <c r="L116" i="2"/>
  <c r="K115" i="2"/>
  <c r="K116" i="2"/>
  <c r="J115" i="2"/>
  <c r="J116" i="2"/>
  <c r="I115" i="2"/>
  <c r="I116" i="2"/>
  <c r="H115" i="2"/>
  <c r="H116" i="2"/>
  <c r="D106" i="2"/>
  <c r="D107" i="2"/>
  <c r="E106" i="2"/>
  <c r="E107" i="2"/>
  <c r="F106" i="2"/>
  <c r="F107" i="2"/>
  <c r="G106" i="2"/>
  <c r="G107" i="2"/>
  <c r="H108" i="2"/>
  <c r="I108" i="2"/>
  <c r="J108" i="2"/>
  <c r="K108" i="2"/>
  <c r="L108" i="2"/>
  <c r="L109" i="2"/>
  <c r="L110" i="2"/>
  <c r="K109" i="2"/>
  <c r="K110" i="2"/>
  <c r="J109" i="2"/>
  <c r="J110" i="2"/>
  <c r="I109" i="2"/>
  <c r="I110" i="2"/>
  <c r="H109" i="2"/>
  <c r="H110" i="2"/>
  <c r="L103" i="2"/>
  <c r="L104" i="2"/>
  <c r="K103" i="2"/>
  <c r="K104" i="2"/>
  <c r="J103" i="2"/>
  <c r="J104" i="2"/>
  <c r="I103" i="2"/>
  <c r="I104" i="2"/>
  <c r="H103" i="2"/>
  <c r="H104" i="2"/>
  <c r="L97" i="2"/>
  <c r="L98" i="2"/>
  <c r="K97" i="2"/>
  <c r="K98" i="2"/>
  <c r="J97" i="2"/>
  <c r="J98" i="2"/>
  <c r="I97" i="2"/>
  <c r="I98" i="2"/>
  <c r="H97" i="2"/>
  <c r="H98" i="2"/>
  <c r="L91" i="2"/>
  <c r="L92" i="2"/>
  <c r="K91" i="2"/>
  <c r="K92" i="2"/>
  <c r="J91" i="2"/>
  <c r="J92" i="2"/>
  <c r="I91" i="2"/>
  <c r="I92" i="2"/>
  <c r="H91" i="2"/>
  <c r="H92" i="2"/>
  <c r="L80" i="2"/>
  <c r="K80" i="2"/>
  <c r="J80" i="2"/>
  <c r="I80" i="2"/>
  <c r="H80" i="2"/>
  <c r="I79" i="2"/>
  <c r="J79" i="2"/>
  <c r="K79" i="2"/>
  <c r="L79" i="2"/>
  <c r="H79" i="2"/>
  <c r="H68" i="2"/>
  <c r="H67" i="2"/>
  <c r="D57" i="2"/>
  <c r="D58" i="2"/>
  <c r="E57" i="2"/>
  <c r="E58" i="2"/>
  <c r="F57" i="2"/>
  <c r="F58" i="2"/>
  <c r="G57" i="2"/>
  <c r="G58" i="2"/>
  <c r="H59" i="2"/>
  <c r="I59" i="2"/>
  <c r="I60" i="2"/>
  <c r="J59" i="2"/>
  <c r="J60" i="2"/>
  <c r="K59" i="2"/>
  <c r="K60" i="2"/>
  <c r="L59" i="2"/>
  <c r="L60" i="2"/>
  <c r="I61" i="2"/>
  <c r="J61" i="2"/>
  <c r="K61" i="2"/>
  <c r="L61" i="2"/>
  <c r="H60" i="2"/>
  <c r="H61" i="2"/>
  <c r="I43" i="2"/>
  <c r="H43" i="2"/>
  <c r="I42" i="2"/>
  <c r="H42" i="2"/>
  <c r="J24" i="2"/>
  <c r="K24" i="2"/>
  <c r="L24" i="2"/>
  <c r="I24" i="2"/>
  <c r="H25" i="2"/>
  <c r="H24" i="2"/>
  <c r="I18" i="2"/>
  <c r="H19" i="2"/>
  <c r="H18" i="2"/>
  <c r="I13" i="2"/>
  <c r="K73" i="2"/>
  <c r="L73" i="2"/>
  <c r="K74" i="2"/>
  <c r="L74" i="2"/>
  <c r="E70" i="2"/>
  <c r="F70" i="2"/>
  <c r="G70" i="2"/>
  <c r="D70" i="2"/>
  <c r="K72" i="2"/>
  <c r="L72" i="2"/>
  <c r="G9" i="2"/>
  <c r="G15" i="2"/>
  <c r="G21" i="2"/>
  <c r="G33" i="2"/>
  <c r="G39" i="2"/>
  <c r="G45" i="2"/>
  <c r="G51" i="2"/>
  <c r="J38" i="10"/>
  <c r="J40" i="10"/>
  <c r="J44" i="10"/>
  <c r="J78" i="2"/>
  <c r="K38" i="10"/>
  <c r="K40" i="10"/>
  <c r="K44" i="10"/>
  <c r="K23" i="2"/>
  <c r="K47" i="2"/>
  <c r="K53" i="2"/>
  <c r="K78" i="2"/>
  <c r="L38" i="10"/>
  <c r="L40" i="10"/>
  <c r="L44" i="10"/>
  <c r="L23" i="2"/>
  <c r="L47" i="2"/>
  <c r="L53" i="2"/>
  <c r="L78" i="2"/>
  <c r="M44" i="10"/>
  <c r="D94" i="2"/>
  <c r="D95" i="2"/>
  <c r="E94" i="2"/>
  <c r="E95" i="2"/>
  <c r="F94" i="2"/>
  <c r="F95" i="2"/>
  <c r="G94" i="2"/>
  <c r="G95" i="2"/>
  <c r="H96" i="2"/>
  <c r="I96" i="2"/>
  <c r="J96" i="2"/>
  <c r="K96" i="2"/>
  <c r="L96" i="2"/>
  <c r="G17" i="12"/>
  <c r="J41" i="22"/>
  <c r="J39" i="22"/>
  <c r="K41" i="22"/>
  <c r="K39" i="22"/>
  <c r="L41" i="22"/>
  <c r="L39" i="22"/>
  <c r="M41" i="22"/>
  <c r="M39" i="22"/>
  <c r="J38" i="22"/>
  <c r="K38" i="22"/>
  <c r="L38" i="22"/>
  <c r="M38" i="22"/>
  <c r="I41" i="22"/>
  <c r="I39" i="22"/>
  <c r="I38" i="22"/>
  <c r="U15" i="1"/>
  <c r="R17" i="1"/>
  <c r="E9" i="2"/>
  <c r="F9" i="2"/>
  <c r="D9" i="2"/>
  <c r="E4" i="10"/>
  <c r="H41" i="22"/>
  <c r="G41" i="22"/>
  <c r="F41" i="22"/>
  <c r="E41" i="22"/>
  <c r="D41" i="22"/>
  <c r="H40" i="22"/>
  <c r="G40" i="22"/>
  <c r="F40" i="22"/>
  <c r="E40" i="22"/>
  <c r="D40" i="22"/>
  <c r="H15" i="22"/>
  <c r="H26" i="22"/>
  <c r="H27" i="22"/>
  <c r="H30" i="22"/>
  <c r="H34" i="22"/>
  <c r="G15" i="22"/>
  <c r="G26" i="22"/>
  <c r="G27" i="22"/>
  <c r="G30" i="22"/>
  <c r="G34" i="22"/>
  <c r="F15" i="22"/>
  <c r="F26" i="22"/>
  <c r="F27" i="22"/>
  <c r="F30" i="22"/>
  <c r="F34" i="22"/>
  <c r="E15" i="22"/>
  <c r="E26" i="22"/>
  <c r="E27" i="22"/>
  <c r="E30" i="22"/>
  <c r="E34" i="22"/>
  <c r="D15" i="22"/>
  <c r="D26" i="22"/>
  <c r="D27" i="22"/>
  <c r="D30" i="22"/>
  <c r="D34" i="22"/>
  <c r="D15" i="2"/>
  <c r="E15" i="2"/>
  <c r="F15" i="2"/>
  <c r="D69" i="34"/>
  <c r="I42" i="11"/>
  <c r="H155" i="2"/>
  <c r="H154" i="2"/>
  <c r="I45" i="11"/>
  <c r="H161" i="2"/>
  <c r="H160" i="2"/>
  <c r="I46" i="11"/>
  <c r="H143" i="2"/>
  <c r="H142" i="2"/>
  <c r="I47" i="11"/>
  <c r="I49" i="11"/>
  <c r="I50" i="11"/>
  <c r="J13" i="10"/>
  <c r="K13" i="10"/>
  <c r="L13" i="10"/>
  <c r="M13" i="10"/>
  <c r="I14" i="10"/>
  <c r="J14" i="10"/>
  <c r="K14" i="10"/>
  <c r="L14" i="10"/>
  <c r="M14" i="10"/>
  <c r="I15" i="10"/>
  <c r="J15" i="10"/>
  <c r="K15" i="10"/>
  <c r="L15" i="10"/>
  <c r="M15" i="10"/>
  <c r="H113" i="2"/>
  <c r="H112" i="2"/>
  <c r="I17" i="10"/>
  <c r="I113" i="2"/>
  <c r="I112" i="2"/>
  <c r="J17" i="10"/>
  <c r="J113" i="2"/>
  <c r="J112" i="2"/>
  <c r="K17" i="10"/>
  <c r="K113" i="2"/>
  <c r="K112" i="2"/>
  <c r="L17" i="10"/>
  <c r="L113" i="2"/>
  <c r="L112" i="2"/>
  <c r="M17" i="10"/>
  <c r="H119" i="2"/>
  <c r="H118" i="2"/>
  <c r="I18" i="10"/>
  <c r="I119" i="2"/>
  <c r="I118" i="2"/>
  <c r="J18" i="10"/>
  <c r="J119" i="2"/>
  <c r="J118" i="2"/>
  <c r="K18" i="10"/>
  <c r="K119" i="2"/>
  <c r="K118" i="2"/>
  <c r="L18" i="10"/>
  <c r="L119" i="2"/>
  <c r="L118" i="2"/>
  <c r="M18" i="10"/>
  <c r="D100" i="2"/>
  <c r="D101" i="2"/>
  <c r="E100" i="2"/>
  <c r="E101" i="2"/>
  <c r="F100" i="2"/>
  <c r="F101" i="2"/>
  <c r="G100" i="2"/>
  <c r="G101" i="2"/>
  <c r="H102" i="2"/>
  <c r="H101" i="2"/>
  <c r="H100" i="2"/>
  <c r="I30" i="11"/>
  <c r="H58" i="2"/>
  <c r="H57" i="2"/>
  <c r="I26" i="10"/>
  <c r="I102" i="2"/>
  <c r="I101" i="2"/>
  <c r="I100" i="2"/>
  <c r="J30" i="11"/>
  <c r="I58" i="2"/>
  <c r="I57" i="2"/>
  <c r="J26" i="10"/>
  <c r="J102" i="2"/>
  <c r="J101" i="2"/>
  <c r="J100" i="2"/>
  <c r="K30" i="11"/>
  <c r="J58" i="2"/>
  <c r="J57" i="2"/>
  <c r="K26" i="10"/>
  <c r="K102" i="2"/>
  <c r="K101" i="2"/>
  <c r="K100" i="2"/>
  <c r="L30" i="11"/>
  <c r="K58" i="2"/>
  <c r="K57" i="2"/>
  <c r="L26" i="10"/>
  <c r="L102" i="2"/>
  <c r="L101" i="2"/>
  <c r="L100" i="2"/>
  <c r="M30" i="11"/>
  <c r="L58" i="2"/>
  <c r="L57" i="2"/>
  <c r="M26" i="10"/>
  <c r="H131" i="2"/>
  <c r="H130" i="2"/>
  <c r="I27" i="10"/>
  <c r="I131" i="2"/>
  <c r="I130" i="2"/>
  <c r="I155" i="2"/>
  <c r="I154" i="2"/>
  <c r="I161" i="2"/>
  <c r="I160" i="2"/>
  <c r="J27" i="10"/>
  <c r="J131" i="2"/>
  <c r="J130" i="2"/>
  <c r="J155" i="2"/>
  <c r="J154" i="2"/>
  <c r="J161" i="2"/>
  <c r="J160" i="2"/>
  <c r="K27" i="10"/>
  <c r="K131" i="2"/>
  <c r="K130" i="2"/>
  <c r="K155" i="2"/>
  <c r="K154" i="2"/>
  <c r="K161" i="2"/>
  <c r="K160" i="2"/>
  <c r="L27" i="10"/>
  <c r="L131" i="2"/>
  <c r="L130" i="2"/>
  <c r="L155" i="2"/>
  <c r="L154" i="2"/>
  <c r="L161" i="2"/>
  <c r="L160" i="2"/>
  <c r="M27" i="10"/>
  <c r="E78" i="34"/>
  <c r="E80" i="34"/>
  <c r="J29" i="10"/>
  <c r="F78" i="34"/>
  <c r="F80" i="34"/>
  <c r="K29" i="10"/>
  <c r="G78" i="34"/>
  <c r="G80" i="34"/>
  <c r="L29" i="10"/>
  <c r="H78" i="34"/>
  <c r="H80" i="34"/>
  <c r="M29" i="10"/>
  <c r="H107" i="2"/>
  <c r="H106" i="2"/>
  <c r="I30" i="10"/>
  <c r="I107" i="2"/>
  <c r="I106" i="2"/>
  <c r="J30" i="10"/>
  <c r="J107" i="2"/>
  <c r="J106" i="2"/>
  <c r="K30" i="10"/>
  <c r="K107" i="2"/>
  <c r="K106" i="2"/>
  <c r="L30" i="10"/>
  <c r="L107" i="2"/>
  <c r="L106" i="2"/>
  <c r="M30" i="10"/>
  <c r="J11" i="11"/>
  <c r="K11" i="11"/>
  <c r="L11" i="11"/>
  <c r="M11" i="11"/>
  <c r="J12" i="11"/>
  <c r="K12" i="11"/>
  <c r="L12" i="11"/>
  <c r="M12" i="11"/>
  <c r="J14" i="11"/>
  <c r="K14" i="11"/>
  <c r="L14" i="11"/>
  <c r="M14" i="11"/>
  <c r="J17" i="11"/>
  <c r="K17" i="11"/>
  <c r="L17" i="11"/>
  <c r="M17" i="11"/>
  <c r="J18" i="11"/>
  <c r="K18" i="11"/>
  <c r="L18" i="11"/>
  <c r="M18" i="11"/>
  <c r="J19" i="11"/>
  <c r="K19" i="11"/>
  <c r="L19" i="11"/>
  <c r="M19" i="11"/>
  <c r="J20" i="11"/>
  <c r="K20" i="11"/>
  <c r="L20" i="11"/>
  <c r="M20" i="11"/>
  <c r="J21" i="11"/>
  <c r="K21" i="11"/>
  <c r="L21" i="11"/>
  <c r="M21" i="11"/>
  <c r="J22" i="11"/>
  <c r="K22" i="11"/>
  <c r="L22" i="11"/>
  <c r="M22" i="11"/>
  <c r="J28" i="11"/>
  <c r="K28" i="11"/>
  <c r="L28" i="11"/>
  <c r="M28" i="11"/>
  <c r="J31" i="11"/>
  <c r="K31" i="11"/>
  <c r="L31" i="11"/>
  <c r="M31" i="11"/>
  <c r="J34" i="11"/>
  <c r="K34" i="11"/>
  <c r="L34" i="11"/>
  <c r="M34" i="11"/>
  <c r="J35" i="11"/>
  <c r="K35" i="11"/>
  <c r="L35" i="11"/>
  <c r="M35" i="11"/>
  <c r="J36" i="11"/>
  <c r="K36" i="11"/>
  <c r="L36" i="11"/>
  <c r="M36" i="11"/>
  <c r="J39" i="11"/>
  <c r="K39" i="11"/>
  <c r="L39" i="11"/>
  <c r="M39" i="11"/>
  <c r="E69" i="34"/>
  <c r="J42" i="11"/>
  <c r="F69" i="34"/>
  <c r="K42" i="11"/>
  <c r="G69" i="34"/>
  <c r="L42" i="11"/>
  <c r="H69" i="34"/>
  <c r="M42" i="11"/>
  <c r="J43" i="11"/>
  <c r="K43" i="11"/>
  <c r="L43" i="11"/>
  <c r="M43" i="11"/>
  <c r="J45" i="11"/>
  <c r="K45" i="11"/>
  <c r="L45" i="11"/>
  <c r="M45" i="11"/>
  <c r="J46" i="11"/>
  <c r="K46" i="11"/>
  <c r="L46" i="11"/>
  <c r="M46" i="11"/>
  <c r="I143" i="2"/>
  <c r="I142" i="2"/>
  <c r="J47" i="11"/>
  <c r="J143" i="2"/>
  <c r="J142" i="2"/>
  <c r="K47" i="11"/>
  <c r="K143" i="2"/>
  <c r="K142" i="2"/>
  <c r="L47" i="11"/>
  <c r="L143" i="2"/>
  <c r="L142" i="2"/>
  <c r="M47" i="11"/>
  <c r="J49" i="11"/>
  <c r="K49" i="11"/>
  <c r="L49" i="11"/>
  <c r="M49" i="11"/>
  <c r="J50" i="11"/>
  <c r="K50" i="11"/>
  <c r="L50" i="11"/>
  <c r="M50" i="11"/>
  <c r="I13" i="10"/>
  <c r="D78" i="34"/>
  <c r="D80" i="34"/>
  <c r="I29" i="10"/>
  <c r="H46" i="31"/>
  <c r="I46" i="31"/>
  <c r="J46" i="31"/>
  <c r="K46" i="31"/>
  <c r="H9" i="31"/>
  <c r="I9" i="31"/>
  <c r="J9" i="31"/>
  <c r="K9" i="31"/>
  <c r="H8" i="31"/>
  <c r="I8" i="31"/>
  <c r="J8" i="31"/>
  <c r="K8" i="31"/>
  <c r="H11" i="31"/>
  <c r="I11" i="31"/>
  <c r="J11" i="31"/>
  <c r="K11" i="31"/>
  <c r="H14" i="31"/>
  <c r="I14" i="31"/>
  <c r="J14" i="31"/>
  <c r="K14" i="31"/>
  <c r="H15" i="31"/>
  <c r="I15" i="31"/>
  <c r="J15" i="31"/>
  <c r="K15" i="31"/>
  <c r="H16" i="31"/>
  <c r="I16" i="31"/>
  <c r="J16" i="31"/>
  <c r="K16" i="31"/>
  <c r="H17" i="31"/>
  <c r="I17" i="31"/>
  <c r="J17" i="31"/>
  <c r="K17" i="31"/>
  <c r="H18" i="31"/>
  <c r="I18" i="31"/>
  <c r="J18" i="31"/>
  <c r="K18" i="31"/>
  <c r="H19" i="31"/>
  <c r="I19" i="31"/>
  <c r="J19" i="31"/>
  <c r="K19" i="31"/>
  <c r="H20" i="31"/>
  <c r="I20" i="31"/>
  <c r="J20" i="31"/>
  <c r="K20" i="31"/>
  <c r="H21" i="31"/>
  <c r="I21" i="31"/>
  <c r="J21" i="31"/>
  <c r="K21" i="31"/>
  <c r="H22" i="31"/>
  <c r="I22" i="31"/>
  <c r="J22" i="31"/>
  <c r="K22" i="31"/>
  <c r="H25" i="31"/>
  <c r="I25" i="31"/>
  <c r="J25" i="31"/>
  <c r="K25" i="31"/>
  <c r="H27" i="31"/>
  <c r="I27" i="31"/>
  <c r="J27" i="31"/>
  <c r="K27" i="31"/>
  <c r="H28" i="31"/>
  <c r="I28" i="31"/>
  <c r="J28" i="31"/>
  <c r="K28" i="31"/>
  <c r="H31" i="31"/>
  <c r="I31" i="31"/>
  <c r="J31" i="31"/>
  <c r="K31" i="31"/>
  <c r="H32" i="31"/>
  <c r="I32" i="31"/>
  <c r="J32" i="31"/>
  <c r="K32" i="31"/>
  <c r="H33" i="31"/>
  <c r="I33" i="31"/>
  <c r="J33" i="31"/>
  <c r="K33" i="31"/>
  <c r="H36" i="31"/>
  <c r="I36" i="31"/>
  <c r="J36" i="31"/>
  <c r="K36" i="31"/>
  <c r="H39" i="31"/>
  <c r="I39" i="31"/>
  <c r="J39" i="31"/>
  <c r="K39" i="31"/>
  <c r="H40" i="31"/>
  <c r="I40" i="31"/>
  <c r="J40" i="31"/>
  <c r="K40" i="31"/>
  <c r="H42" i="31"/>
  <c r="I42" i="31"/>
  <c r="J42" i="31"/>
  <c r="K42" i="31"/>
  <c r="H43" i="31"/>
  <c r="I43" i="31"/>
  <c r="J43" i="31"/>
  <c r="K43" i="31"/>
  <c r="H44" i="31"/>
  <c r="I44" i="31"/>
  <c r="J44" i="31"/>
  <c r="K44" i="31"/>
  <c r="H47" i="31"/>
  <c r="I47" i="31"/>
  <c r="J47" i="31"/>
  <c r="K47" i="31"/>
  <c r="G39" i="31"/>
  <c r="G42" i="31"/>
  <c r="G43" i="31"/>
  <c r="G44" i="31"/>
  <c r="G46" i="31"/>
  <c r="G47" i="31"/>
  <c r="I10" i="32"/>
  <c r="J10" i="32"/>
  <c r="K10" i="32"/>
  <c r="L10" i="32"/>
  <c r="I11" i="32"/>
  <c r="J11" i="32"/>
  <c r="K11" i="32"/>
  <c r="L11" i="32"/>
  <c r="I13" i="32"/>
  <c r="J13" i="32"/>
  <c r="K13" i="32"/>
  <c r="L13" i="32"/>
  <c r="H14" i="32"/>
  <c r="I14" i="32"/>
  <c r="J14" i="32"/>
  <c r="K14" i="32"/>
  <c r="L14" i="32"/>
  <c r="H15" i="32"/>
  <c r="I15" i="32"/>
  <c r="J15" i="32"/>
  <c r="K15" i="32"/>
  <c r="L15" i="32"/>
  <c r="H16" i="32"/>
  <c r="I16" i="32"/>
  <c r="J16" i="32"/>
  <c r="K16" i="32"/>
  <c r="L16" i="32"/>
  <c r="H17" i="32"/>
  <c r="I17" i="32"/>
  <c r="J17" i="32"/>
  <c r="K17" i="32"/>
  <c r="L17" i="32"/>
  <c r="I18" i="32"/>
  <c r="J18" i="32"/>
  <c r="K18" i="32"/>
  <c r="L18" i="32"/>
  <c r="I19" i="32"/>
  <c r="J19" i="32"/>
  <c r="K19" i="32"/>
  <c r="L19" i="32"/>
  <c r="I20" i="32"/>
  <c r="J20" i="32"/>
  <c r="K20" i="32"/>
  <c r="L20" i="32"/>
  <c r="I21" i="32"/>
  <c r="J21" i="32"/>
  <c r="K21" i="32"/>
  <c r="L21" i="32"/>
  <c r="I26" i="32"/>
  <c r="J26" i="32"/>
  <c r="K26" i="32"/>
  <c r="L26" i="32"/>
  <c r="H27" i="32"/>
  <c r="I27" i="32"/>
  <c r="J27" i="32"/>
  <c r="K27" i="32"/>
  <c r="L27" i="32"/>
  <c r="I30" i="32"/>
  <c r="J30" i="32"/>
  <c r="K30" i="32"/>
  <c r="L30" i="32"/>
  <c r="H31" i="32"/>
  <c r="I31" i="32"/>
  <c r="J31" i="32"/>
  <c r="K31" i="32"/>
  <c r="L31" i="32"/>
  <c r="I35" i="32"/>
  <c r="J35" i="32"/>
  <c r="K35" i="32"/>
  <c r="L35" i="32"/>
  <c r="I36" i="32"/>
  <c r="J36" i="32"/>
  <c r="K36" i="32"/>
  <c r="L36" i="32"/>
  <c r="I37" i="32"/>
  <c r="J37" i="32"/>
  <c r="K37" i="32"/>
  <c r="L37" i="32"/>
  <c r="I38" i="32"/>
  <c r="J38" i="32"/>
  <c r="K38" i="32"/>
  <c r="L38" i="32"/>
  <c r="I39" i="32"/>
  <c r="J39" i="32"/>
  <c r="K39" i="32"/>
  <c r="L39" i="32"/>
  <c r="I40" i="32"/>
  <c r="J40" i="32"/>
  <c r="K40" i="32"/>
  <c r="L40" i="32"/>
  <c r="I41" i="32"/>
  <c r="J41" i="32"/>
  <c r="K41" i="32"/>
  <c r="L41" i="32"/>
  <c r="E148" i="2"/>
  <c r="F148" i="2"/>
  <c r="E149" i="2"/>
  <c r="F149" i="2"/>
  <c r="D148" i="2"/>
  <c r="H13" i="32"/>
  <c r="I21" i="11"/>
  <c r="I35" i="11"/>
  <c r="I19" i="11"/>
  <c r="I20" i="11"/>
  <c r="D149" i="2"/>
  <c r="I18" i="11"/>
  <c r="I17" i="11"/>
  <c r="H30" i="32"/>
  <c r="I22" i="11"/>
  <c r="I28" i="11"/>
  <c r="I14" i="11"/>
  <c r="I34" i="11"/>
  <c r="I12" i="11"/>
  <c r="I36" i="11"/>
  <c r="I43" i="11"/>
  <c r="I11" i="11"/>
  <c r="I39" i="11"/>
  <c r="I31" i="11"/>
  <c r="E41" i="10"/>
  <c r="H35" i="32"/>
  <c r="H36" i="32"/>
  <c r="H38" i="32"/>
  <c r="H40" i="32"/>
  <c r="G31" i="31"/>
  <c r="G32" i="31"/>
  <c r="G33" i="31"/>
  <c r="G36" i="31"/>
  <c r="G8" i="31"/>
  <c r="G9" i="31"/>
  <c r="G11" i="31"/>
  <c r="G14" i="31"/>
  <c r="G15" i="31"/>
  <c r="G16" i="31"/>
  <c r="G17" i="31"/>
  <c r="G18" i="31"/>
  <c r="G25" i="31"/>
  <c r="G27" i="31"/>
  <c r="G19" i="31"/>
  <c r="G20" i="31"/>
  <c r="G21" i="31"/>
  <c r="G22" i="31"/>
  <c r="G28" i="31"/>
  <c r="H11" i="32"/>
  <c r="H18" i="32"/>
  <c r="H19" i="32"/>
  <c r="H20" i="32"/>
  <c r="H21" i="32"/>
  <c r="H37" i="32"/>
  <c r="H39" i="32"/>
  <c r="H41" i="32"/>
  <c r="H26" i="32"/>
  <c r="H10" i="32"/>
  <c r="C78" i="34"/>
  <c r="D70" i="34"/>
  <c r="G40" i="31"/>
  <c r="D18" i="34"/>
  <c r="D24" i="34"/>
  <c r="D30" i="34"/>
  <c r="D36" i="34"/>
  <c r="D49" i="34"/>
  <c r="D55" i="34"/>
  <c r="D61" i="34"/>
  <c r="D67" i="34"/>
  <c r="D98" i="34"/>
  <c r="E70" i="34"/>
  <c r="E15" i="34"/>
  <c r="E21" i="34"/>
  <c r="E24" i="34"/>
  <c r="E27" i="34"/>
  <c r="E30" i="34"/>
  <c r="E33" i="34"/>
  <c r="E36" i="34"/>
  <c r="E74" i="34"/>
  <c r="E46" i="34"/>
  <c r="E52" i="34"/>
  <c r="E55" i="34"/>
  <c r="E58" i="34"/>
  <c r="E61" i="34"/>
  <c r="E64" i="34"/>
  <c r="E67" i="34"/>
  <c r="E98" i="34"/>
  <c r="F70" i="34"/>
  <c r="F21" i="34"/>
  <c r="F27" i="34"/>
  <c r="F30" i="34"/>
  <c r="F33" i="34"/>
  <c r="F36" i="34"/>
  <c r="F74" i="34"/>
  <c r="F52" i="34"/>
  <c r="F58" i="34"/>
  <c r="F61" i="34"/>
  <c r="F64" i="34"/>
  <c r="F67" i="34"/>
  <c r="F98" i="34"/>
  <c r="G29" i="34"/>
  <c r="G70" i="34"/>
  <c r="G27" i="34"/>
  <c r="G33" i="34"/>
  <c r="G36" i="34"/>
  <c r="G74" i="34"/>
  <c r="G58" i="34"/>
  <c r="G64" i="34"/>
  <c r="G67" i="34"/>
  <c r="G98" i="34"/>
  <c r="H70" i="34"/>
  <c r="H33" i="34"/>
  <c r="H74" i="34"/>
  <c r="H64" i="34"/>
  <c r="H98" i="34"/>
  <c r="G32" i="32"/>
  <c r="G41" i="32"/>
  <c r="E22" i="32"/>
  <c r="F22" i="32"/>
  <c r="G22" i="32"/>
  <c r="D22" i="32"/>
  <c r="E41" i="32"/>
  <c r="E32" i="32"/>
  <c r="E43" i="32"/>
  <c r="F41" i="32"/>
  <c r="F32" i="32"/>
  <c r="F43" i="32"/>
  <c r="G43" i="32"/>
  <c r="D41" i="32"/>
  <c r="D32" i="32"/>
  <c r="D43" i="32"/>
  <c r="E36" i="31"/>
  <c r="E84" i="34"/>
  <c r="E85" i="34"/>
  <c r="D71" i="34"/>
  <c r="E87" i="34"/>
  <c r="E88" i="34"/>
  <c r="E91" i="34"/>
  <c r="E89" i="34"/>
  <c r="F84" i="34"/>
  <c r="F85" i="34"/>
  <c r="E71" i="34"/>
  <c r="F87" i="34"/>
  <c r="F88" i="34"/>
  <c r="F91" i="34"/>
  <c r="F89" i="34"/>
  <c r="G84" i="34"/>
  <c r="G85" i="34"/>
  <c r="F71" i="34"/>
  <c r="G87" i="34"/>
  <c r="G88" i="34"/>
  <c r="G91" i="34"/>
  <c r="G89" i="34"/>
  <c r="H84" i="34"/>
  <c r="H85" i="34"/>
  <c r="G71" i="34"/>
  <c r="H87" i="34"/>
  <c r="H88" i="34"/>
  <c r="H91" i="34"/>
  <c r="H89" i="34"/>
  <c r="D87" i="34"/>
  <c r="D88" i="34"/>
  <c r="D91" i="34"/>
  <c r="D84" i="34"/>
  <c r="D85" i="34"/>
  <c r="D86" i="34"/>
  <c r="D89" i="34"/>
  <c r="D93" i="34"/>
  <c r="C12" i="34"/>
  <c r="E124" i="2"/>
  <c r="F124" i="2"/>
  <c r="G124" i="2"/>
  <c r="D124" i="2"/>
  <c r="D25" i="12"/>
  <c r="G9" i="25"/>
  <c r="G10" i="25"/>
  <c r="G13" i="25"/>
  <c r="G14" i="25"/>
  <c r="G15" i="25"/>
  <c r="G16" i="25"/>
  <c r="G18" i="25"/>
  <c r="H71" i="34"/>
  <c r="E64" i="2"/>
  <c r="D64" i="2"/>
  <c r="E65" i="2"/>
  <c r="F64" i="2"/>
  <c r="F65" i="2"/>
  <c r="G65" i="2"/>
  <c r="F48" i="31"/>
  <c r="G88" i="2"/>
  <c r="E88" i="2"/>
  <c r="E89" i="2"/>
  <c r="F88" i="2"/>
  <c r="F89" i="2"/>
  <c r="G89" i="2"/>
  <c r="D88" i="2"/>
  <c r="D89" i="2"/>
  <c r="C18" i="34"/>
  <c r="C24" i="34"/>
  <c r="C30" i="34"/>
  <c r="C36" i="34"/>
  <c r="C96" i="34"/>
  <c r="C106" i="34"/>
  <c r="C43" i="34"/>
  <c r="C49" i="34"/>
  <c r="C55" i="34"/>
  <c r="C61" i="34"/>
  <c r="C67" i="34"/>
  <c r="C97" i="34"/>
  <c r="C107" i="34"/>
  <c r="C98" i="34"/>
  <c r="C108" i="34"/>
  <c r="C110" i="34"/>
  <c r="C80" i="34"/>
  <c r="D28" i="31"/>
  <c r="E28" i="31"/>
  <c r="F28" i="31"/>
  <c r="F52" i="31"/>
  <c r="E52" i="31"/>
  <c r="D52" i="31"/>
  <c r="E83" i="2"/>
  <c r="F83" i="2"/>
  <c r="G83" i="2"/>
  <c r="D83" i="2"/>
  <c r="M5" i="5"/>
  <c r="F28" i="5"/>
  <c r="D9" i="25"/>
  <c r="D10" i="25"/>
  <c r="D13" i="25"/>
  <c r="D14" i="25"/>
  <c r="D15" i="25"/>
  <c r="D16" i="25"/>
  <c r="D18" i="25"/>
  <c r="F9" i="25"/>
  <c r="F10" i="25"/>
  <c r="F13" i="25"/>
  <c r="F14" i="25"/>
  <c r="F15" i="25"/>
  <c r="F16" i="25"/>
  <c r="F18" i="25"/>
  <c r="E9" i="25"/>
  <c r="E10" i="25"/>
  <c r="E13" i="25"/>
  <c r="E14" i="25"/>
  <c r="E15" i="25"/>
  <c r="E16" i="25"/>
  <c r="E18" i="25"/>
  <c r="F19" i="25"/>
  <c r="G19" i="25"/>
  <c r="E19" i="25"/>
  <c r="I26" i="25"/>
  <c r="J26" i="25"/>
  <c r="K26" i="25"/>
  <c r="L26" i="25"/>
  <c r="H26" i="25"/>
  <c r="E22" i="25"/>
  <c r="E26" i="25"/>
  <c r="F22" i="25"/>
  <c r="F26" i="25"/>
  <c r="G22" i="25"/>
  <c r="G26" i="25"/>
  <c r="D22" i="25"/>
  <c r="D26" i="25"/>
  <c r="E25" i="25"/>
  <c r="F25" i="25"/>
  <c r="G25" i="25"/>
  <c r="D25" i="25"/>
  <c r="E24" i="25"/>
  <c r="F24" i="25"/>
  <c r="G24" i="25"/>
  <c r="D24" i="25"/>
  <c r="E23" i="25"/>
  <c r="F23" i="25"/>
  <c r="G23" i="25"/>
  <c r="D23" i="25"/>
  <c r="G19" i="5"/>
  <c r="H19" i="5"/>
  <c r="I19" i="5"/>
  <c r="J19" i="5"/>
  <c r="F19" i="5"/>
  <c r="F13" i="5"/>
  <c r="L59" i="22"/>
  <c r="L60" i="22"/>
  <c r="E77" i="2"/>
  <c r="F77" i="2"/>
  <c r="G77" i="2"/>
  <c r="D77" i="2"/>
  <c r="E51" i="2"/>
  <c r="F51" i="2"/>
  <c r="D51" i="2"/>
  <c r="E45" i="2"/>
  <c r="F45" i="2"/>
  <c r="D45" i="2"/>
  <c r="E39" i="2"/>
  <c r="D39" i="2"/>
  <c r="E40" i="2"/>
  <c r="F39" i="2"/>
  <c r="E33" i="2"/>
  <c r="F33" i="2"/>
  <c r="D33" i="2"/>
  <c r="E21" i="2"/>
  <c r="F21" i="2"/>
  <c r="D21" i="2"/>
  <c r="E16" i="2"/>
  <c r="F16" i="2"/>
  <c r="G16" i="2"/>
  <c r="E10" i="2"/>
  <c r="F10" i="2"/>
  <c r="G10" i="2"/>
  <c r="D5" i="5"/>
  <c r="E5" i="5"/>
  <c r="F5" i="5"/>
  <c r="M6" i="5"/>
  <c r="D9" i="5"/>
  <c r="E9" i="5"/>
  <c r="D11" i="9"/>
  <c r="E11" i="9"/>
  <c r="F11" i="9"/>
  <c r="G11" i="9"/>
  <c r="H11" i="9"/>
  <c r="E10" i="5"/>
  <c r="G10" i="5"/>
  <c r="H10" i="5"/>
  <c r="I10" i="5"/>
  <c r="J10" i="5"/>
  <c r="E12" i="5"/>
  <c r="E13" i="5"/>
  <c r="J13" i="5"/>
  <c r="E11" i="5"/>
  <c r="G13" i="5"/>
  <c r="H13" i="5"/>
  <c r="I13" i="5"/>
  <c r="E14" i="5"/>
  <c r="E15" i="5"/>
  <c r="F15" i="5"/>
  <c r="G15" i="5"/>
  <c r="H15" i="5"/>
  <c r="I15" i="5"/>
  <c r="J15" i="5"/>
  <c r="E16" i="5"/>
  <c r="E17" i="5"/>
  <c r="E18" i="5"/>
  <c r="F18" i="5"/>
  <c r="G18" i="5"/>
  <c r="H18" i="5"/>
  <c r="I18" i="5"/>
  <c r="J18" i="5"/>
  <c r="E19" i="5"/>
  <c r="D22" i="9"/>
  <c r="D23" i="9"/>
  <c r="D26" i="9"/>
  <c r="E22" i="9"/>
  <c r="E23" i="9"/>
  <c r="E26" i="9"/>
  <c r="F22" i="9"/>
  <c r="F23" i="9"/>
  <c r="F26" i="9"/>
  <c r="G22" i="9"/>
  <c r="G23" i="9"/>
  <c r="G26" i="9"/>
  <c r="E21" i="5"/>
  <c r="E22" i="5"/>
  <c r="E24" i="5"/>
  <c r="E25" i="5"/>
  <c r="E26" i="5"/>
  <c r="E27" i="5"/>
  <c r="G27" i="5"/>
  <c r="H27" i="5"/>
  <c r="I27" i="5"/>
  <c r="J27" i="5"/>
  <c r="E28" i="5"/>
  <c r="G28" i="5"/>
  <c r="H28" i="5"/>
  <c r="I28" i="5"/>
  <c r="J28" i="5"/>
  <c r="F33" i="5"/>
  <c r="G33" i="5"/>
  <c r="H33" i="5"/>
  <c r="I33" i="5"/>
  <c r="J33" i="5"/>
  <c r="E27" i="12"/>
  <c r="D5" i="22"/>
  <c r="D59" i="22"/>
  <c r="E59" i="22"/>
  <c r="F59" i="22"/>
  <c r="G59" i="22"/>
  <c r="H59" i="22"/>
  <c r="I59" i="22"/>
  <c r="D60" i="22"/>
  <c r="E60" i="22"/>
  <c r="F60" i="22"/>
  <c r="G60" i="22"/>
  <c r="H60" i="22"/>
  <c r="I60" i="22"/>
  <c r="T60" i="22"/>
  <c r="D61" i="22"/>
  <c r="E61" i="22"/>
  <c r="F61" i="22"/>
  <c r="G61" i="22"/>
  <c r="H61" i="22"/>
  <c r="I61" i="22"/>
  <c r="T61" i="22"/>
  <c r="D62" i="22"/>
  <c r="E62" i="22"/>
  <c r="F62" i="22"/>
  <c r="G62" i="22"/>
  <c r="H62" i="22"/>
  <c r="I62" i="22"/>
  <c r="T62" i="22"/>
  <c r="T64" i="22"/>
  <c r="Q65" i="22"/>
  <c r="R65" i="22"/>
  <c r="S65" i="22"/>
  <c r="D66" i="22"/>
  <c r="E66" i="22"/>
  <c r="F66" i="22"/>
  <c r="G66" i="22"/>
  <c r="H66" i="22"/>
  <c r="I66" i="22"/>
  <c r="D67" i="22"/>
  <c r="E67" i="22"/>
  <c r="F67" i="22"/>
  <c r="G67" i="22"/>
  <c r="H67" i="22"/>
  <c r="I67" i="22"/>
  <c r="D68" i="22"/>
  <c r="E68" i="22"/>
  <c r="F68" i="22"/>
  <c r="G68" i="22"/>
  <c r="H68" i="22"/>
  <c r="I68" i="22"/>
  <c r="D5" i="2"/>
  <c r="E22" i="2"/>
  <c r="F22" i="2"/>
  <c r="G22" i="2"/>
  <c r="E34" i="2"/>
  <c r="F34" i="2"/>
  <c r="G34" i="2"/>
  <c r="F40" i="2"/>
  <c r="G40" i="2"/>
  <c r="E46" i="2"/>
  <c r="F46" i="2"/>
  <c r="G46" i="2"/>
  <c r="E52" i="2"/>
  <c r="F52" i="2"/>
  <c r="G52" i="2"/>
  <c r="D76" i="2"/>
  <c r="E76" i="2"/>
  <c r="F76" i="2"/>
  <c r="H22" i="9"/>
  <c r="H23" i="9"/>
  <c r="H26" i="9"/>
  <c r="G76" i="2"/>
  <c r="D55" i="11"/>
  <c r="E55" i="11"/>
  <c r="F55" i="11"/>
  <c r="G55" i="11"/>
  <c r="H55" i="11"/>
  <c r="D30" i="9"/>
  <c r="E30" i="9"/>
  <c r="F30" i="9"/>
  <c r="G30" i="9"/>
  <c r="H30" i="9"/>
  <c r="D35" i="9"/>
  <c r="E35" i="9"/>
  <c r="F35" i="9"/>
  <c r="G35" i="9"/>
  <c r="H35" i="9"/>
  <c r="D36" i="9"/>
  <c r="E36" i="9"/>
  <c r="F36" i="9"/>
  <c r="G36" i="9"/>
  <c r="H36" i="9"/>
  <c r="G148" i="2"/>
  <c r="H148" i="2"/>
  <c r="I148" i="2"/>
  <c r="J148" i="2"/>
  <c r="K148" i="2"/>
  <c r="L148" i="2"/>
  <c r="G149" i="2"/>
  <c r="H149" i="2"/>
  <c r="I149" i="2"/>
  <c r="J149" i="2"/>
  <c r="K149" i="2"/>
  <c r="L149" i="2"/>
  <c r="H150" i="2"/>
  <c r="I150" i="2"/>
  <c r="J150" i="2"/>
  <c r="K150" i="2"/>
  <c r="L150" i="2"/>
  <c r="H151" i="2"/>
  <c r="I151" i="2"/>
  <c r="J151" i="2"/>
  <c r="K151" i="2"/>
  <c r="L151" i="2"/>
  <c r="H152" i="2"/>
  <c r="I152" i="2"/>
  <c r="J152" i="2"/>
  <c r="K152" i="2"/>
  <c r="L152" i="2"/>
  <c r="I11" i="10"/>
  <c r="J11" i="10"/>
  <c r="K11" i="10"/>
  <c r="L11" i="10"/>
  <c r="M11" i="10"/>
  <c r="I23" i="10"/>
  <c r="J23" i="10"/>
  <c r="K23" i="10"/>
  <c r="L23" i="10"/>
  <c r="M23" i="10"/>
  <c r="I28" i="10"/>
  <c r="J28" i="10"/>
  <c r="K28" i="10"/>
  <c r="L28" i="10"/>
  <c r="M28" i="10"/>
  <c r="I31" i="10"/>
  <c r="J31" i="10"/>
  <c r="K31" i="10"/>
  <c r="L31" i="10"/>
  <c r="M31" i="10"/>
  <c r="I41" i="10"/>
  <c r="J41" i="10"/>
  <c r="K41" i="10"/>
  <c r="L41" i="10"/>
  <c r="M41" i="10"/>
  <c r="I48" i="11"/>
  <c r="J48" i="11"/>
  <c r="K48" i="11"/>
  <c r="L48" i="11"/>
  <c r="M48" i="11"/>
  <c r="I51" i="11"/>
  <c r="J51" i="11"/>
  <c r="K51" i="11"/>
  <c r="L51" i="11"/>
  <c r="M51" i="11"/>
  <c r="I55" i="11"/>
  <c r="J55" i="11"/>
  <c r="K55" i="11"/>
  <c r="L55" i="11"/>
  <c r="M55" i="11"/>
  <c r="E86" i="34"/>
  <c r="F86" i="34"/>
  <c r="G86" i="34"/>
  <c r="H86" i="34"/>
  <c r="E93" i="34"/>
  <c r="F93" i="34"/>
  <c r="G93" i="34"/>
  <c r="H93" i="34"/>
  <c r="H9" i="32"/>
  <c r="I9" i="32"/>
  <c r="J9" i="32"/>
  <c r="K9" i="32"/>
  <c r="L9" i="32"/>
  <c r="H22" i="32"/>
  <c r="I22" i="32"/>
  <c r="J22" i="32"/>
  <c r="K22" i="32"/>
  <c r="L22" i="32"/>
  <c r="H29" i="32"/>
  <c r="I29" i="32"/>
  <c r="J29" i="32"/>
  <c r="K29" i="32"/>
  <c r="L29" i="32"/>
  <c r="H32" i="32"/>
  <c r="I32" i="32"/>
  <c r="J32" i="32"/>
  <c r="K32" i="32"/>
  <c r="L32" i="32"/>
  <c r="H43" i="32"/>
  <c r="I43" i="32"/>
  <c r="J43" i="32"/>
  <c r="K43" i="32"/>
  <c r="L43" i="32"/>
  <c r="H45" i="32"/>
  <c r="I45" i="32"/>
  <c r="J45" i="32"/>
  <c r="K45" i="32"/>
  <c r="L45" i="32"/>
  <c r="G45" i="31"/>
  <c r="H45" i="31"/>
  <c r="I45" i="31"/>
  <c r="J45" i="31"/>
  <c r="K45" i="31"/>
  <c r="G48" i="31"/>
  <c r="H48" i="31"/>
  <c r="I48" i="31"/>
  <c r="J48" i="31"/>
  <c r="K48" i="31"/>
  <c r="G52" i="31"/>
  <c r="H52" i="31"/>
  <c r="I52" i="31"/>
  <c r="J52" i="31"/>
  <c r="K5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 Schwartz</author>
  </authors>
  <commentList>
    <comment ref="P62" authorId="0" shapeId="0" xr:uid="{8DB1739E-F6E2-473F-BA44-4C3B76A576EC}">
      <text>
        <r>
          <rPr>
            <b/>
            <sz val="9"/>
            <color indexed="81"/>
            <rFont val="Tahoma"/>
            <family val="2"/>
          </rPr>
          <t>Dani Schwartz:</t>
        </r>
        <r>
          <rPr>
            <sz val="9"/>
            <color indexed="81"/>
            <rFont val="Tahoma"/>
            <family val="2"/>
          </rPr>
          <t xml:space="preserve">
Find out when new disney cruise ship will be offered
</t>
        </r>
      </text>
    </comment>
  </commentList>
</comments>
</file>

<file path=xl/sharedStrings.xml><?xml version="1.0" encoding="utf-8"?>
<sst xmlns="http://schemas.openxmlformats.org/spreadsheetml/2006/main" count="733" uniqueCount="337">
  <si>
    <t>2016A</t>
  </si>
  <si>
    <t>2017A</t>
  </si>
  <si>
    <t>2018A</t>
  </si>
  <si>
    <t>2019A</t>
  </si>
  <si>
    <t>2020A</t>
  </si>
  <si>
    <t>2021A</t>
  </si>
  <si>
    <t>2022A</t>
  </si>
  <si>
    <t>Income Statement</t>
  </si>
  <si>
    <t>Revenues</t>
  </si>
  <si>
    <t xml:space="preserve">  Total Revenues</t>
  </si>
  <si>
    <t>Expenses</t>
  </si>
  <si>
    <t xml:space="preserve">  Net Income (Loss)</t>
  </si>
  <si>
    <t>Supplementary Info</t>
  </si>
  <si>
    <t xml:space="preserve">  Basic Earnings Per Share – Total</t>
  </si>
  <si>
    <t xml:space="preserve">  Diluted Earnings Per Share – Total</t>
  </si>
  <si>
    <t>Balance Sheet</t>
  </si>
  <si>
    <t>Shareholders' Equity</t>
  </si>
  <si>
    <t xml:space="preserve">  Total Shareholders Equity</t>
  </si>
  <si>
    <t xml:space="preserve">  Total Liabilities &amp; Shareholders Equity</t>
  </si>
  <si>
    <t>Statement of Cash Flows</t>
  </si>
  <si>
    <t>Operating Activities</t>
  </si>
  <si>
    <t xml:space="preserve">  Cash Flow from Operating Activities</t>
  </si>
  <si>
    <t>Investing Activities</t>
  </si>
  <si>
    <t xml:space="preserve">  Cash Flow from Investing Activities</t>
  </si>
  <si>
    <t>Financing Activities</t>
  </si>
  <si>
    <t xml:space="preserve">  Cash Flow from Financing Activities</t>
  </si>
  <si>
    <t>Other Adjustments</t>
  </si>
  <si>
    <t xml:space="preserve">  Cash Flow Net Changes in Cash</t>
  </si>
  <si>
    <t>Revenue</t>
  </si>
  <si>
    <t>EBITDA</t>
  </si>
  <si>
    <t>Year</t>
  </si>
  <si>
    <t>Theme Park Admissions</t>
  </si>
  <si>
    <t>Resorts and Vacation</t>
  </si>
  <si>
    <t>Merchandise Licensing &amp; Retail</t>
  </si>
  <si>
    <t>Parks Licensing and Other</t>
  </si>
  <si>
    <t>2023E</t>
  </si>
  <si>
    <t>2024E</t>
  </si>
  <si>
    <t>2025E</t>
  </si>
  <si>
    <t>2026E</t>
  </si>
  <si>
    <t>2027E</t>
  </si>
  <si>
    <t>Projections</t>
  </si>
  <si>
    <t>($ in millions)</t>
  </si>
  <si>
    <t>Tax Rate</t>
  </si>
  <si>
    <t xml:space="preserve">Revenue </t>
  </si>
  <si>
    <t>For Fiscal Year Ending</t>
  </si>
  <si>
    <t>% Growth</t>
  </si>
  <si>
    <t>(-) Operating Expenses</t>
  </si>
  <si>
    <t>(+) Depreciation &amp; Amortization</t>
  </si>
  <si>
    <t>% Margin</t>
  </si>
  <si>
    <t>(-) Taxes</t>
  </si>
  <si>
    <t>Effective Tax Rate</t>
  </si>
  <si>
    <t>NOPAT</t>
  </si>
  <si>
    <t>(-) Capital Expenditures</t>
  </si>
  <si>
    <t>(-) Change in Net Working Capital</t>
  </si>
  <si>
    <t>Unlevered FCF</t>
  </si>
  <si>
    <t>(-) Depreciation &amp; Amortization</t>
  </si>
  <si>
    <t>EBIT</t>
  </si>
  <si>
    <t>PV of Unlevered FCF</t>
  </si>
  <si>
    <t>WACC</t>
  </si>
  <si>
    <t>Discount Rate</t>
  </si>
  <si>
    <t>Exit Multiple</t>
  </si>
  <si>
    <t>Exit Multiple Method</t>
  </si>
  <si>
    <t>Terminal Value:</t>
  </si>
  <si>
    <t>Terminal Value</t>
  </si>
  <si>
    <t>PV of Terminal Value</t>
  </si>
  <si>
    <t>PV of Period Cash Flow</t>
  </si>
  <si>
    <t>Total</t>
  </si>
  <si>
    <t>(-) Debt</t>
  </si>
  <si>
    <t>(+) Cash</t>
  </si>
  <si>
    <t>Shares Outstanding</t>
  </si>
  <si>
    <t>Share Price</t>
  </si>
  <si>
    <t>Blended Implied Share Price</t>
  </si>
  <si>
    <t>Mulitiple Method</t>
  </si>
  <si>
    <t>2027E EBITDA</t>
  </si>
  <si>
    <t>WACC Calculation</t>
  </si>
  <si>
    <t>Amount</t>
  </si>
  <si>
    <t>% of Total</t>
  </si>
  <si>
    <t>Market Risk Premium</t>
  </si>
  <si>
    <t>Date of Analysis</t>
  </si>
  <si>
    <t>Inputs</t>
  </si>
  <si>
    <t>Debt Assumptions</t>
  </si>
  <si>
    <t>Risk-Free Rate</t>
  </si>
  <si>
    <t>Beta 5Y</t>
  </si>
  <si>
    <t>After-Tax Cost of Debt</t>
  </si>
  <si>
    <t>Corporate Tax Rate</t>
  </si>
  <si>
    <t>Common Shares (millions)</t>
  </si>
  <si>
    <t>Market Value of Debt</t>
  </si>
  <si>
    <t>Equity Risk Premium</t>
  </si>
  <si>
    <t>Beta</t>
  </si>
  <si>
    <t>Cost of Equity</t>
  </si>
  <si>
    <t>Market Value</t>
  </si>
  <si>
    <t>Cost of Capital</t>
  </si>
  <si>
    <t>Market Value of Equity</t>
  </si>
  <si>
    <t>Weighted Average Cost of Capital</t>
  </si>
  <si>
    <t>Cost of Equity Calculation</t>
  </si>
  <si>
    <t>DPEP</t>
  </si>
  <si>
    <t>DMED</t>
  </si>
  <si>
    <t>% of Total 2022 revenue</t>
  </si>
  <si>
    <t>Valuation Date</t>
  </si>
  <si>
    <t>DCF Valuation:</t>
  </si>
  <si>
    <t xml:space="preserve">Current Share Price </t>
  </si>
  <si>
    <t xml:space="preserve">Exit Multiple Method </t>
  </si>
  <si>
    <t>Case (Adjustable)</t>
  </si>
  <si>
    <t xml:space="preserve">Blended Share Price </t>
  </si>
  <si>
    <t>Base</t>
  </si>
  <si>
    <t xml:space="preserve">Upside/Downside </t>
  </si>
  <si>
    <t xml:space="preserve">Bull </t>
  </si>
  <si>
    <t>Bear</t>
  </si>
  <si>
    <t>Assumptions</t>
  </si>
  <si>
    <t>Active Case:</t>
  </si>
  <si>
    <t>Forecasted Years</t>
  </si>
  <si>
    <t>Taxes</t>
  </si>
  <si>
    <t>% Effective Tax Rate</t>
  </si>
  <si>
    <t>Parks &amp; Experience, Merch, Food and bev</t>
  </si>
  <si>
    <t>Disney</t>
  </si>
  <si>
    <t>Comcast</t>
  </si>
  <si>
    <t>As of</t>
  </si>
  <si>
    <t>Year End</t>
  </si>
  <si>
    <t>Implied EV</t>
  </si>
  <si>
    <t>Implied Equity Value</t>
  </si>
  <si>
    <t>Implied Share Price</t>
  </si>
  <si>
    <t>Enterprise Value</t>
  </si>
  <si>
    <t>Capex as a % of Revenue</t>
  </si>
  <si>
    <t>Depreciation and Amortization as a % of Revenue</t>
  </si>
  <si>
    <t>Discounted Cash Flow Valuation</t>
  </si>
  <si>
    <t xml:space="preserve">   Discount Period</t>
  </si>
  <si>
    <t xml:space="preserve">   Discount Factor</t>
  </si>
  <si>
    <t>Recommendation: BUY</t>
  </si>
  <si>
    <t>Operating Build</t>
  </si>
  <si>
    <t>Cole Cherian &amp; Nolan Horan</t>
  </si>
  <si>
    <t>NYSE: AER</t>
  </si>
  <si>
    <t>Saturday, October 7, 2023</t>
  </si>
  <si>
    <t>AerCap Holdings N.V.</t>
  </si>
  <si>
    <t>Operating Income</t>
  </si>
  <si>
    <t>Net charges related to Ukraine Conflict</t>
  </si>
  <si>
    <t>Asset impairment</t>
  </si>
  <si>
    <t>Interest expense</t>
  </si>
  <si>
    <t>(Gain) loss on debt extinguishment</t>
  </si>
  <si>
    <t>Leasing expenses</t>
  </si>
  <si>
    <t>Selling, general, and administrative expenses</t>
  </si>
  <si>
    <t>Transaction and integration-related expenses</t>
  </si>
  <si>
    <t>Total Expenses</t>
  </si>
  <si>
    <t>(Loss) gain on investments at fair value</t>
  </si>
  <si>
    <t>(Loss) income before income taxes</t>
  </si>
  <si>
    <t>Income tax benefit (expense)</t>
  </si>
  <si>
    <t>Equity in net earnings of investments</t>
  </si>
  <si>
    <t>Weighted average shares outstanding-- basic</t>
  </si>
  <si>
    <t>Weighted average shares outstanding--- diluted</t>
  </si>
  <si>
    <t>Depreciation &amp; amortization</t>
  </si>
  <si>
    <t>Gain (loss) on sale of assets</t>
  </si>
  <si>
    <t>Other revenue</t>
  </si>
  <si>
    <t>Leasing revenue</t>
  </si>
  <si>
    <t>--</t>
  </si>
  <si>
    <t>Restricted cash</t>
  </si>
  <si>
    <t>Trade receivables</t>
  </si>
  <si>
    <t>Flight equipment held for sale</t>
  </si>
  <si>
    <t>Prepayments on flight equipment</t>
  </si>
  <si>
    <t>Maintenance rights and lease premium, net</t>
  </si>
  <si>
    <t>Other intangibles, net</t>
  </si>
  <si>
    <t>Deferred income tax assets</t>
  </si>
  <si>
    <t>Other assets</t>
  </si>
  <si>
    <t>Total Assets</t>
  </si>
  <si>
    <t xml:space="preserve">  Cash and cash equivalents</t>
  </si>
  <si>
    <t>Assets</t>
  </si>
  <si>
    <t>Liabilities</t>
  </si>
  <si>
    <t>Accrued maintenance liability</t>
  </si>
  <si>
    <t>Lessee deposit liability</t>
  </si>
  <si>
    <t>Debt</t>
  </si>
  <si>
    <t>Deferred income tax liabilities</t>
  </si>
  <si>
    <t>Total Liabilities</t>
  </si>
  <si>
    <t xml:space="preserve">  Accounts payable and other accrued liabilities</t>
  </si>
  <si>
    <t>Common stock - par value</t>
  </si>
  <si>
    <t>Additional paid-in capital</t>
  </si>
  <si>
    <t>Treasury shares</t>
  </si>
  <si>
    <t>Accumulated other comprehensive loss</t>
  </si>
  <si>
    <t>Accumulated retained earnings</t>
  </si>
  <si>
    <t>Flight equipment held for operating leases, net</t>
  </si>
  <si>
    <t>Investment in finance and sales-type leases, net</t>
  </si>
  <si>
    <t>Associated companies</t>
  </si>
  <si>
    <t xml:space="preserve">  Net income (loss)</t>
  </si>
  <si>
    <t>Depreciation and amortization</t>
  </si>
  <si>
    <t>Amortization of debt</t>
  </si>
  <si>
    <t>Amortization of fair value adjustments on debt</t>
  </si>
  <si>
    <t>Maintenance rights write-off</t>
  </si>
  <si>
    <t>Maintenance liability release to income</t>
  </si>
  <si>
    <t>Net gain on sale of assets</t>
  </si>
  <si>
    <t>Deferred tax benefit</t>
  </si>
  <si>
    <t>Share-based compensation</t>
  </si>
  <si>
    <t>Collections of finance leases</t>
  </si>
  <si>
    <t>Loss (gain) on investments at fair value</t>
  </si>
  <si>
    <t>Other</t>
  </si>
  <si>
    <t>Changes in operating assets and liabilities:</t>
  </si>
  <si>
    <t>Accounts payable, accrued expenses and other liabilities</t>
  </si>
  <si>
    <t>Purchase of flight equipment</t>
  </si>
  <si>
    <t>Proceeds from sale or disposal of assets</t>
  </si>
  <si>
    <t>Acquisition of GECAS, net of cash acquired</t>
  </si>
  <si>
    <t>Issuance of debt</t>
  </si>
  <si>
    <t>Repayment of debt</t>
  </si>
  <si>
    <t>Debt issuance and extinguishment costs paid, net of debt premium received</t>
  </si>
  <si>
    <t>Maintenance payments received</t>
  </si>
  <si>
    <t>Maintenance pauments returned</t>
  </si>
  <si>
    <t>Security deposits received</t>
  </si>
  <si>
    <t>Security deposits returned</t>
  </si>
  <si>
    <t>Dividend paid to non-controlling interest holders and others</t>
  </si>
  <si>
    <t>Repurchase of shares and tax witholdings on share-based compensation</t>
  </si>
  <si>
    <t>Effect of exchange rate changes</t>
  </si>
  <si>
    <t>24,858)</t>
  </si>
  <si>
    <t>Leasing Revenue</t>
  </si>
  <si>
    <t>Gain (Loss) on Sale of Assets</t>
  </si>
  <si>
    <t>Other Revenue</t>
  </si>
  <si>
    <t>Depreciation &amp; Amortization</t>
  </si>
  <si>
    <t>Asset Impairment</t>
  </si>
  <si>
    <t>Leasing Expenses</t>
  </si>
  <si>
    <t>Selling, General, &amp; Administrative Expenses</t>
  </si>
  <si>
    <t>Shares Repurchased</t>
  </si>
  <si>
    <t>% of Revenue</t>
  </si>
  <si>
    <t>AerCap N.V.</t>
  </si>
  <si>
    <t>Capital Expenditures</t>
  </si>
  <si>
    <t>Country/Region Premium</t>
  </si>
  <si>
    <t>Pre-Tax Cost of Debt</t>
  </si>
  <si>
    <t>AerCap NWC</t>
  </si>
  <si>
    <t>ASSETS</t>
  </si>
  <si>
    <t>Total Current Assets</t>
  </si>
  <si>
    <t>LIABILITIES</t>
  </si>
  <si>
    <t>Total Current Liabilities</t>
  </si>
  <si>
    <t>Net Working Capital</t>
  </si>
  <si>
    <t>Change</t>
  </si>
  <si>
    <t>Drivers</t>
  </si>
  <si>
    <t>Trade receivables % of revenue</t>
  </si>
  <si>
    <t>Accounts payable % of revenue</t>
  </si>
  <si>
    <t>Accrued maintenance liability % of revenue</t>
  </si>
  <si>
    <t>Lessee deposit liability % of revenue</t>
  </si>
  <si>
    <t>AerCap DCF</t>
  </si>
  <si>
    <t>$ in Millions, Unless Otherwise Noted</t>
  </si>
  <si>
    <t>Equity Schedule</t>
  </si>
  <si>
    <t>BB of Retained Earnings</t>
  </si>
  <si>
    <t>(+) Net Income</t>
  </si>
  <si>
    <t>(-) Dividends</t>
  </si>
  <si>
    <t>EB of Retained Earnings</t>
  </si>
  <si>
    <t>BB Treasury Stock</t>
  </si>
  <si>
    <t>(+) Shares repurchases</t>
  </si>
  <si>
    <t>EB Treasury Stock</t>
  </si>
  <si>
    <t>Debt Schedule</t>
  </si>
  <si>
    <t>Outsanding Debt Being Paid Down</t>
  </si>
  <si>
    <t>Ending Balance</t>
  </si>
  <si>
    <t>Total Ending Balance</t>
  </si>
  <si>
    <t>Cash Progression</t>
  </si>
  <si>
    <t>Beginning Cash</t>
  </si>
  <si>
    <t>Cash from Operating Activities</t>
  </si>
  <si>
    <t>Cash from Investing Activities</t>
  </si>
  <si>
    <t>Cash from Financing Activities</t>
  </si>
  <si>
    <t>Dividends</t>
  </si>
  <si>
    <t>Debt Drawdown</t>
  </si>
  <si>
    <t>Principal Paydown</t>
  </si>
  <si>
    <t>Common Stock Issuances</t>
  </si>
  <si>
    <t>Share Repurchases</t>
  </si>
  <si>
    <t>Less: Minimum Cash Balance</t>
  </si>
  <si>
    <t>Total Cash Available (Required)</t>
  </si>
  <si>
    <t>Balances</t>
  </si>
  <si>
    <t>Cost of Debt</t>
  </si>
  <si>
    <t>Interest</t>
  </si>
  <si>
    <t>Total Interest Expense</t>
  </si>
  <si>
    <t>Beginning Balance</t>
  </si>
  <si>
    <t>(+)Drawdown</t>
  </si>
  <si>
    <t>(-)Paydown</t>
  </si>
  <si>
    <t>Unsecured debt facilities</t>
  </si>
  <si>
    <t>Secured debt facilities</t>
  </si>
  <si>
    <t>2023 Maturity</t>
  </si>
  <si>
    <t>2024 Maturity</t>
  </si>
  <si>
    <t>2025 Maturity</t>
  </si>
  <si>
    <t>2026 Maturity</t>
  </si>
  <si>
    <t>2027 Maturity</t>
  </si>
  <si>
    <t>Unsecured debt</t>
  </si>
  <si>
    <t>Secured debt</t>
  </si>
  <si>
    <t>Subordinated debt</t>
  </si>
  <si>
    <t>Issuance of Debt</t>
  </si>
  <si>
    <t>Repayment of Debt</t>
  </si>
  <si>
    <t>Total Change in Long Term Debt</t>
  </si>
  <si>
    <t>Outstanding Debt Not Paid Down</t>
  </si>
  <si>
    <t>Dividends Paid</t>
  </si>
  <si>
    <t>Current Assets</t>
  </si>
  <si>
    <t>Non-Current Assets</t>
  </si>
  <si>
    <t>Current Liabilities</t>
  </si>
  <si>
    <t>Non-Current Liabilities</t>
  </si>
  <si>
    <t>Minority Interest</t>
  </si>
  <si>
    <t>.</t>
  </si>
  <si>
    <t>Share Based Compensation</t>
  </si>
  <si>
    <t>% growth</t>
  </si>
  <si>
    <t>Trade Receivables</t>
  </si>
  <si>
    <t>Accounts Payable</t>
  </si>
  <si>
    <t>Deffered Income Tax Benefit</t>
  </si>
  <si>
    <t>% of deffered income tax</t>
  </si>
  <si>
    <t>Prepayments on Aircraft</t>
  </si>
  <si>
    <t>% Decline</t>
  </si>
  <si>
    <t>% of revenue</t>
  </si>
  <si>
    <t>Maintance Rights Write Off</t>
  </si>
  <si>
    <t>% of leasing revenue</t>
  </si>
  <si>
    <t>Maintenance payments returned</t>
  </si>
  <si>
    <t>Collections on Finance Leases (Cash Flow)</t>
  </si>
  <si>
    <t>*as reported within company filings</t>
  </si>
  <si>
    <t>-</t>
  </si>
  <si>
    <t>Maintance Liability Release to Income</t>
  </si>
  <si>
    <t>Paydown % of maturing debt</t>
  </si>
  <si>
    <t>Security Deposits Returned</t>
  </si>
  <si>
    <t>Maintenance Payments Returned</t>
  </si>
  <si>
    <t>Maintenance Payments Received</t>
  </si>
  <si>
    <t>Security Deposits Received</t>
  </si>
  <si>
    <t>Can figure this out later, literally just reclassifying one asset line to another</t>
  </si>
  <si>
    <t>Idk how to account for this, shouldn't it already be accounted for in D&amp;A?</t>
  </si>
  <si>
    <t>Also need to fix assumption for this</t>
  </si>
  <si>
    <t>Non-Controlling Interest</t>
  </si>
  <si>
    <t>Price to Book Value</t>
  </si>
  <si>
    <t>(-) Non-Controlling Interest</t>
  </si>
  <si>
    <t>Common Equity</t>
  </si>
  <si>
    <t>Common Equity:</t>
  </si>
  <si>
    <t>Book Value per Share:</t>
  </si>
  <si>
    <t>Book Value per Share</t>
  </si>
  <si>
    <t>Shares Outstanding (Millions)</t>
  </si>
  <si>
    <t>Price To Book Multiple</t>
  </si>
  <si>
    <t>PV of Book Value</t>
  </si>
  <si>
    <t>2027E Total Equity</t>
  </si>
  <si>
    <t>2027E Common Equity</t>
  </si>
  <si>
    <t>2027E Book Value per Share</t>
  </si>
  <si>
    <t>Discount Period</t>
  </si>
  <si>
    <t>Discout Factor</t>
  </si>
  <si>
    <t>AerCap WACC</t>
  </si>
  <si>
    <t>Book Value Method</t>
  </si>
  <si>
    <t>Price to Book Multiple</t>
  </si>
  <si>
    <t>Blended Share Price</t>
  </si>
  <si>
    <t xml:space="preserve">     Book Value Per Share</t>
  </si>
  <si>
    <t>Admin:</t>
  </si>
  <si>
    <t>Net Charges Related to Ukraine Conflict</t>
  </si>
  <si>
    <t xml:space="preserve">     Multiple</t>
  </si>
  <si>
    <t>P/B ratio</t>
  </si>
  <si>
    <t>Other Debt (reconcile w/ BS)</t>
  </si>
  <si>
    <t>Average</t>
  </si>
  <si>
    <t>Implied Upside: 35.1%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</si>
</sst>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.0_);_(* \(#,##0.0\)_)\ ;_(* 0_)"/>
    <numFmt numFmtId="166" formatCode="0.0%"/>
    <numFmt numFmtId="167" formatCode="_(&quot;$&quot;* #,##0.0_);_(&quot;$&quot;* \(#,##0.0\);_(&quot;$&quot;* &quot;-&quot;??_);_(@_)"/>
    <numFmt numFmtId="168" formatCode="_(&quot;$&quot;* #,##0.0_);_(&quot;$&quot;* \(#,##0.0\);_(&quot;$&quot;* &quot;-&quot;?_);_(@_)"/>
    <numFmt numFmtId="169" formatCode="&quot;$&quot;#,##0.0_);\(&quot;$&quot;#,##0.0\)"/>
    <numFmt numFmtId="170" formatCode="#,##0.0\x"/>
    <numFmt numFmtId="171" formatCode="0.0\x"/>
    <numFmt numFmtId="172" formatCode="_(&quot;$&quot;* #,##0_);_(&quot;$&quot;* \(#,##0\);_(&quot;$&quot;* &quot;-&quot;??_);_(@_)"/>
    <numFmt numFmtId="173" formatCode="_(#,##0.0%_);\(#,##0.0%\);_(&quot;–&quot;_)_%;_(@_)_%"/>
    <numFmt numFmtId="174" formatCode="yyyy&quot;A&quot;"/>
    <numFmt numFmtId="175" formatCode="yyyy&quot;E&quot;"/>
    <numFmt numFmtId="176" formatCode="_(* #,##0_);_(* \(#,##0\)_)\ ;_(* 0_)"/>
    <numFmt numFmtId="177" formatCode="_(* #,##0.0_);_(* \(#,##0.0\);_(* &quot;-&quot;?_);_(@_)"/>
    <numFmt numFmtId="178" formatCode="#,##0.0_);\(#,##0.0\)"/>
    <numFmt numFmtId="179" formatCode="0.000%"/>
    <numFmt numFmtId="180" formatCode="0.0"/>
    <numFmt numFmtId="181" formatCode="&quot;$&quot;#,##0.00"/>
    <numFmt numFmtId="182" formatCode="0.00\x"/>
    <numFmt numFmtId="183" formatCode="#,##0.00\x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rgb="FFFF0000"/>
      <name val="Garamond"/>
      <family val="1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theme="1"/>
      <name val="Calibri"/>
      <family val="2"/>
      <scheme val="minor"/>
    </font>
    <font>
      <sz val="11"/>
      <name val="Garamond"/>
      <family val="1"/>
    </font>
    <font>
      <i/>
      <sz val="11"/>
      <color theme="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Garamond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Garamond"/>
      <family val="1"/>
    </font>
    <font>
      <sz val="8"/>
      <color theme="1"/>
      <name val="Arial"/>
      <family val="2"/>
    </font>
    <font>
      <i/>
      <sz val="11"/>
      <name val="Garamond"/>
      <family val="1"/>
    </font>
    <font>
      <i/>
      <sz val="11"/>
      <color rgb="FFFF0000"/>
      <name val="Garamond"/>
      <family val="1"/>
    </font>
    <font>
      <sz val="11"/>
      <color theme="1"/>
      <name val="Garamond"/>
      <family val="1"/>
    </font>
    <font>
      <b/>
      <i/>
      <sz val="11"/>
      <color theme="0"/>
      <name val="Garamond"/>
      <family val="1"/>
    </font>
    <font>
      <i/>
      <sz val="11"/>
      <color theme="0"/>
      <name val="Garamond"/>
      <family val="1"/>
    </font>
    <font>
      <b/>
      <u/>
      <sz val="11"/>
      <color theme="0"/>
      <name val="Garamond"/>
      <family val="1"/>
    </font>
    <font>
      <b/>
      <sz val="11"/>
      <color rgb="FF0000FF"/>
      <name val="Garamond"/>
      <family val="1"/>
    </font>
    <font>
      <i/>
      <sz val="11"/>
      <color rgb="FF0000FF"/>
      <name val="Garamond"/>
      <family val="1"/>
    </font>
    <font>
      <b/>
      <i/>
      <sz val="11"/>
      <color theme="1"/>
      <name val="Garamond"/>
      <family val="1"/>
    </font>
    <font>
      <sz val="11"/>
      <name val="Calibri"/>
      <family val="2"/>
      <scheme val="minor"/>
    </font>
    <font>
      <sz val="11"/>
      <color rgb="FF113CCF"/>
      <name val="Garamond"/>
      <family val="1"/>
    </font>
    <font>
      <sz val="11"/>
      <color rgb="FF203764"/>
      <name val="Garamond"/>
      <family val="1"/>
    </font>
    <font>
      <b/>
      <u/>
      <sz val="11"/>
      <name val="Garamond"/>
      <family val="1"/>
    </font>
    <font>
      <sz val="11"/>
      <color theme="0"/>
      <name val="Calibri"/>
      <family val="2"/>
      <scheme val="minor"/>
    </font>
    <font>
      <i/>
      <sz val="12"/>
      <color theme="1"/>
      <name val="Garamond"/>
      <family val="1"/>
    </font>
    <font>
      <b/>
      <sz val="11"/>
      <color rgb="FF203764"/>
      <name val="Garamond"/>
      <family val="1"/>
    </font>
    <font>
      <b/>
      <sz val="11"/>
      <color rgb="FF113CCF"/>
      <name val="Garamond"/>
      <family val="1"/>
    </font>
    <font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2"/>
      <color rgb="FF0000FF"/>
      <name val="Garamond"/>
      <family val="1"/>
    </font>
    <font>
      <b/>
      <u/>
      <sz val="11"/>
      <color theme="1"/>
      <name val="Garamond"/>
      <family val="1"/>
    </font>
    <font>
      <sz val="11"/>
      <color rgb="FF113CC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113CCF"/>
        <bgColor indexed="64"/>
      </patternFill>
    </fill>
    <fill>
      <patternFill patternType="solid">
        <fgColor rgb="FF203764"/>
        <bgColor rgb="FF7A005A"/>
      </patternFill>
    </fill>
    <fill>
      <patternFill patternType="solid">
        <fgColor rgb="FF113CCF"/>
        <bgColor rgb="FF7A005A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7A005A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002060"/>
        <bgColor rgb="FF002060"/>
      </patternFill>
    </fill>
    <fill>
      <patternFill patternType="solid">
        <fgColor rgb="FFE7E6E6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7" fontId="14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0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80">
    <xf numFmtId="0" fontId="0" fillId="0" borderId="0" xfId="0"/>
    <xf numFmtId="0" fontId="5" fillId="2" borderId="0" xfId="0" applyFont="1" applyFill="1"/>
    <xf numFmtId="0" fontId="1" fillId="0" borderId="0" xfId="0" applyFont="1"/>
    <xf numFmtId="0" fontId="6" fillId="0" borderId="0" xfId="0" applyFont="1"/>
    <xf numFmtId="0" fontId="2" fillId="0" borderId="0" xfId="0" applyFont="1"/>
    <xf numFmtId="165" fontId="6" fillId="0" borderId="0" xfId="0" applyNumberFormat="1" applyFont="1"/>
    <xf numFmtId="0" fontId="6" fillId="0" borderId="7" xfId="0" applyFont="1" applyBorder="1"/>
    <xf numFmtId="166" fontId="6" fillId="0" borderId="0" xfId="1" applyNumberFormat="1" applyFont="1"/>
    <xf numFmtId="0" fontId="6" fillId="0" borderId="0" xfId="0" applyFont="1" applyAlignment="1">
      <alignment horizontal="left"/>
    </xf>
    <xf numFmtId="166" fontId="0" fillId="0" borderId="0" xfId="1" applyNumberFormat="1" applyFont="1"/>
    <xf numFmtId="0" fontId="6" fillId="0" borderId="0" xfId="0" applyFont="1" applyAlignment="1">
      <alignment horizontal="left" indent="1"/>
    </xf>
    <xf numFmtId="166" fontId="6" fillId="0" borderId="4" xfId="0" applyNumberFormat="1" applyFont="1" applyBorder="1"/>
    <xf numFmtId="166" fontId="6" fillId="0" borderId="6" xfId="0" applyNumberFormat="1" applyFont="1" applyBorder="1"/>
    <xf numFmtId="167" fontId="6" fillId="0" borderId="0" xfId="0" applyNumberFormat="1" applyFont="1"/>
    <xf numFmtId="2" fontId="6" fillId="0" borderId="0" xfId="0" applyNumberFormat="1" applyFont="1"/>
    <xf numFmtId="166" fontId="10" fillId="0" borderId="0" xfId="1" applyNumberFormat="1" applyFont="1"/>
    <xf numFmtId="0" fontId="6" fillId="0" borderId="0" xfId="0" applyFont="1" applyAlignment="1">
      <alignment horizontal="left" indent="2"/>
    </xf>
    <xf numFmtId="0" fontId="13" fillId="3" borderId="0" xfId="0" applyFont="1" applyFill="1"/>
    <xf numFmtId="0" fontId="10" fillId="0" borderId="0" xfId="0" applyFont="1" applyAlignment="1">
      <alignment horizontal="left" indent="2"/>
    </xf>
    <xf numFmtId="167" fontId="13" fillId="3" borderId="0" xfId="0" applyNumberFormat="1" applyFont="1" applyFill="1"/>
    <xf numFmtId="168" fontId="13" fillId="3" borderId="0" xfId="0" applyNumberFormat="1" applyFont="1" applyFill="1"/>
    <xf numFmtId="0" fontId="2" fillId="0" borderId="0" xfId="0" applyFont="1" applyAlignment="1">
      <alignment horizontal="centerContinuous"/>
    </xf>
    <xf numFmtId="7" fontId="9" fillId="0" borderId="5" xfId="2" applyFont="1" applyBorder="1" applyAlignment="1">
      <alignment horizontal="left"/>
    </xf>
    <xf numFmtId="7" fontId="9" fillId="0" borderId="5" xfId="2" applyFont="1" applyBorder="1"/>
    <xf numFmtId="7" fontId="9" fillId="0" borderId="2" xfId="2" applyFont="1" applyBorder="1"/>
    <xf numFmtId="165" fontId="2" fillId="0" borderId="0" xfId="0" applyNumberFormat="1" applyFont="1"/>
    <xf numFmtId="165" fontId="0" fillId="0" borderId="0" xfId="0" applyNumberFormat="1"/>
    <xf numFmtId="0" fontId="5" fillId="7" borderId="0" xfId="0" applyFont="1" applyFill="1"/>
    <xf numFmtId="0" fontId="6" fillId="7" borderId="0" xfId="0" applyFont="1" applyFill="1"/>
    <xf numFmtId="0" fontId="21" fillId="7" borderId="0" xfId="0" applyFont="1" applyFill="1"/>
    <xf numFmtId="0" fontId="2" fillId="0" borderId="0" xfId="0" applyFont="1" applyAlignment="1">
      <alignment horizontal="left"/>
    </xf>
    <xf numFmtId="169" fontId="24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6" fontId="10" fillId="0" borderId="0" xfId="0" applyNumberFormat="1" applyFont="1"/>
    <xf numFmtId="173" fontId="10" fillId="5" borderId="0" xfId="0" applyNumberFormat="1" applyFont="1" applyFill="1"/>
    <xf numFmtId="169" fontId="6" fillId="0" borderId="0" xfId="0" applyNumberFormat="1" applyFont="1"/>
    <xf numFmtId="169" fontId="2" fillId="0" borderId="0" xfId="0" applyNumberFormat="1" applyFont="1"/>
    <xf numFmtId="173" fontId="10" fillId="5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169" fontId="24" fillId="0" borderId="0" xfId="0" applyNumberFormat="1" applyFont="1"/>
    <xf numFmtId="166" fontId="6" fillId="0" borderId="0" xfId="0" applyNumberFormat="1" applyFont="1"/>
    <xf numFmtId="169" fontId="24" fillId="0" borderId="0" xfId="0" applyNumberFormat="1" applyFont="1" applyAlignment="1">
      <alignment horizontal="right" vertical="top" wrapText="1"/>
    </xf>
    <xf numFmtId="0" fontId="13" fillId="7" borderId="0" xfId="0" applyFont="1" applyFill="1"/>
    <xf numFmtId="0" fontId="22" fillId="7" borderId="0" xfId="0" applyFont="1" applyFill="1"/>
    <xf numFmtId="0" fontId="5" fillId="7" borderId="0" xfId="0" applyFont="1" applyFill="1" applyAlignment="1">
      <alignment horizontal="left"/>
    </xf>
    <xf numFmtId="174" fontId="5" fillId="7" borderId="13" xfId="0" applyNumberFormat="1" applyFont="1" applyFill="1" applyBorder="1" applyAlignment="1">
      <alignment horizontal="center" vertical="center"/>
    </xf>
    <xf numFmtId="175" fontId="5" fillId="7" borderId="13" xfId="0" applyNumberFormat="1" applyFont="1" applyFill="1" applyBorder="1" applyAlignment="1">
      <alignment horizontal="center" vertical="center"/>
    </xf>
    <xf numFmtId="165" fontId="9" fillId="0" borderId="0" xfId="0" applyNumberFormat="1" applyFont="1"/>
    <xf numFmtId="165" fontId="16" fillId="0" borderId="0" xfId="0" applyNumberFormat="1" applyFont="1"/>
    <xf numFmtId="165" fontId="28" fillId="0" borderId="0" xfId="0" applyNumberFormat="1" applyFont="1"/>
    <xf numFmtId="165" fontId="28" fillId="0" borderId="6" xfId="0" applyNumberFormat="1" applyFont="1" applyBorder="1"/>
    <xf numFmtId="173" fontId="10" fillId="5" borderId="6" xfId="0" applyNumberFormat="1" applyFont="1" applyFill="1" applyBorder="1"/>
    <xf numFmtId="176" fontId="28" fillId="0" borderId="0" xfId="0" applyNumberFormat="1" applyFont="1"/>
    <xf numFmtId="176" fontId="28" fillId="0" borderId="6" xfId="0" applyNumberFormat="1" applyFont="1" applyBorder="1"/>
    <xf numFmtId="10" fontId="6" fillId="0" borderId="0" xfId="0" applyNumberFormat="1" applyFont="1"/>
    <xf numFmtId="7" fontId="6" fillId="0" borderId="0" xfId="0" applyNumberFormat="1" applyFont="1"/>
    <xf numFmtId="0" fontId="7" fillId="0" borderId="0" xfId="0" applyFont="1"/>
    <xf numFmtId="7" fontId="9" fillId="0" borderId="0" xfId="2" applyFont="1" applyAlignment="1">
      <alignment horizontal="left"/>
    </xf>
    <xf numFmtId="39" fontId="9" fillId="0" borderId="0" xfId="2" applyNumberFormat="1" applyFont="1"/>
    <xf numFmtId="7" fontId="16" fillId="0" borderId="11" xfId="2" applyFont="1" applyBorder="1"/>
    <xf numFmtId="7" fontId="9" fillId="0" borderId="5" xfId="2" applyFont="1" applyBorder="1" applyAlignment="1">
      <alignment vertical="center"/>
    </xf>
    <xf numFmtId="173" fontId="10" fillId="0" borderId="0" xfId="0" applyNumberFormat="1" applyFont="1"/>
    <xf numFmtId="173" fontId="26" fillId="0" borderId="0" xfId="0" applyNumberFormat="1" applyFont="1"/>
    <xf numFmtId="0" fontId="10" fillId="0" borderId="0" xfId="0" applyFont="1"/>
    <xf numFmtId="10" fontId="10" fillId="0" borderId="0" xfId="0" applyNumberFormat="1" applyFont="1"/>
    <xf numFmtId="173" fontId="10" fillId="0" borderId="0" xfId="0" applyNumberFormat="1" applyFont="1" applyAlignment="1">
      <alignment horizontal="right"/>
    </xf>
    <xf numFmtId="0" fontId="18" fillId="0" borderId="0" xfId="0" applyFont="1"/>
    <xf numFmtId="10" fontId="9" fillId="0" borderId="4" xfId="0" applyNumberFormat="1" applyFont="1" applyBorder="1"/>
    <xf numFmtId="0" fontId="6" fillId="0" borderId="2" xfId="0" applyFont="1" applyBorder="1"/>
    <xf numFmtId="9" fontId="6" fillId="0" borderId="0" xfId="1" applyFont="1"/>
    <xf numFmtId="166" fontId="10" fillId="0" borderId="0" xfId="1" applyNumberFormat="1" applyFont="1" applyBorder="1"/>
    <xf numFmtId="168" fontId="18" fillId="0" borderId="0" xfId="0" applyNumberFormat="1" applyFont="1"/>
    <xf numFmtId="7" fontId="16" fillId="0" borderId="11" xfId="2" applyFont="1" applyBorder="1" applyAlignment="1">
      <alignment horizontal="left"/>
    </xf>
    <xf numFmtId="0" fontId="27" fillId="0" borderId="0" xfId="0" applyFont="1"/>
    <xf numFmtId="166" fontId="10" fillId="0" borderId="0" xfId="1" applyNumberFormat="1" applyFont="1" applyFill="1"/>
    <xf numFmtId="10" fontId="0" fillId="0" borderId="0" xfId="1" applyNumberFormat="1" applyFont="1"/>
    <xf numFmtId="0" fontId="5" fillId="3" borderId="11" xfId="0" applyFont="1" applyFill="1" applyBorder="1"/>
    <xf numFmtId="0" fontId="2" fillId="3" borderId="12" xfId="0" applyFont="1" applyFill="1" applyBorder="1"/>
    <xf numFmtId="0" fontId="5" fillId="3" borderId="12" xfId="0" applyFont="1" applyFill="1" applyBorder="1"/>
    <xf numFmtId="14" fontId="2" fillId="0" borderId="0" xfId="0" applyNumberFormat="1" applyFont="1"/>
    <xf numFmtId="0" fontId="6" fillId="0" borderId="5" xfId="0" applyFont="1" applyBorder="1"/>
    <xf numFmtId="10" fontId="9" fillId="0" borderId="6" xfId="0" applyNumberFormat="1" applyFont="1" applyBorder="1"/>
    <xf numFmtId="166" fontId="6" fillId="0" borderId="9" xfId="0" applyNumberFormat="1" applyFont="1" applyBorder="1"/>
    <xf numFmtId="0" fontId="9" fillId="0" borderId="6" xfId="0" applyFont="1" applyBorder="1"/>
    <xf numFmtId="9" fontId="9" fillId="0" borderId="6" xfId="0" applyNumberFormat="1" applyFont="1" applyBorder="1"/>
    <xf numFmtId="44" fontId="9" fillId="0" borderId="6" xfId="0" applyNumberFormat="1" applyFont="1" applyBorder="1"/>
    <xf numFmtId="172" fontId="9" fillId="0" borderId="9" xfId="0" applyNumberFormat="1" applyFont="1" applyBorder="1"/>
    <xf numFmtId="10" fontId="2" fillId="0" borderId="0" xfId="0" applyNumberFormat="1" applyFont="1"/>
    <xf numFmtId="0" fontId="13" fillId="3" borderId="11" xfId="0" applyFont="1" applyFill="1" applyBorder="1"/>
    <xf numFmtId="0" fontId="13" fillId="3" borderId="12" xfId="0" applyFont="1" applyFill="1" applyBorder="1"/>
    <xf numFmtId="172" fontId="6" fillId="0" borderId="0" xfId="0" applyNumberFormat="1" applyFont="1"/>
    <xf numFmtId="0" fontId="22" fillId="0" borderId="0" xfId="0" applyFont="1"/>
    <xf numFmtId="0" fontId="32" fillId="0" borderId="0" xfId="0" applyFont="1"/>
    <xf numFmtId="0" fontId="5" fillId="3" borderId="0" xfId="0" applyFont="1" applyFill="1"/>
    <xf numFmtId="175" fontId="5" fillId="8" borderId="13" xfId="0" applyNumberFormat="1" applyFont="1" applyFill="1" applyBorder="1" applyAlignment="1">
      <alignment horizontal="center" vertical="center"/>
    </xf>
    <xf numFmtId="0" fontId="5" fillId="0" borderId="0" xfId="0" applyFont="1"/>
    <xf numFmtId="0" fontId="13" fillId="0" borderId="0" xfId="0" applyFont="1"/>
    <xf numFmtId="0" fontId="0" fillId="3" borderId="0" xfId="0" applyFill="1"/>
    <xf numFmtId="0" fontId="31" fillId="3" borderId="0" xfId="0" applyFont="1" applyFill="1"/>
    <xf numFmtId="0" fontId="22" fillId="3" borderId="0" xfId="0" applyFont="1" applyFill="1"/>
    <xf numFmtId="172" fontId="5" fillId="3" borderId="12" xfId="0" applyNumberFormat="1" applyFont="1" applyFill="1" applyBorder="1"/>
    <xf numFmtId="9" fontId="5" fillId="3" borderId="12" xfId="1" applyFont="1" applyFill="1" applyBorder="1"/>
    <xf numFmtId="14" fontId="13" fillId="3" borderId="0" xfId="0" applyNumberFormat="1" applyFont="1" applyFill="1"/>
    <xf numFmtId="14" fontId="5" fillId="3" borderId="0" xfId="0" applyNumberFormat="1" applyFont="1" applyFill="1"/>
    <xf numFmtId="0" fontId="5" fillId="6" borderId="0" xfId="0" applyFont="1" applyFill="1" applyAlignment="1">
      <alignment horizontal="right"/>
    </xf>
    <xf numFmtId="167" fontId="5" fillId="3" borderId="0" xfId="0" applyNumberFormat="1" applyFont="1" applyFill="1"/>
    <xf numFmtId="168" fontId="5" fillId="3" borderId="0" xfId="0" applyNumberFormat="1" applyFont="1" applyFill="1"/>
    <xf numFmtId="0" fontId="6" fillId="9" borderId="0" xfId="0" applyFont="1" applyFill="1" applyAlignment="1">
      <alignment horizontal="centerContinuous"/>
    </xf>
    <xf numFmtId="0" fontId="2" fillId="10" borderId="0" xfId="0" applyFont="1" applyFill="1" applyAlignment="1">
      <alignment horizontal="center"/>
    </xf>
    <xf numFmtId="173" fontId="25" fillId="11" borderId="14" xfId="0" applyNumberFormat="1" applyFont="1" applyFill="1" applyBorder="1"/>
    <xf numFmtId="166" fontId="25" fillId="11" borderId="14" xfId="0" applyNumberFormat="1" applyFont="1" applyFill="1" applyBorder="1"/>
    <xf numFmtId="0" fontId="2" fillId="9" borderId="0" xfId="0" applyFont="1" applyFill="1"/>
    <xf numFmtId="0" fontId="2" fillId="9" borderId="11" xfId="0" applyFont="1" applyFill="1" applyBorder="1"/>
    <xf numFmtId="166" fontId="2" fillId="9" borderId="10" xfId="0" applyNumberFormat="1" applyFont="1" applyFill="1" applyBorder="1"/>
    <xf numFmtId="0" fontId="6" fillId="9" borderId="12" xfId="0" applyFont="1" applyFill="1" applyBorder="1"/>
    <xf numFmtId="0" fontId="33" fillId="9" borderId="0" xfId="0" applyFont="1" applyFill="1"/>
    <xf numFmtId="0" fontId="5" fillId="9" borderId="0" xfId="0" applyFont="1" applyFill="1"/>
    <xf numFmtId="0" fontId="6" fillId="9" borderId="11" xfId="0" applyFont="1" applyFill="1" applyBorder="1"/>
    <xf numFmtId="0" fontId="6" fillId="9" borderId="0" xfId="0" applyFont="1" applyFill="1"/>
    <xf numFmtId="166" fontId="6" fillId="9" borderId="10" xfId="0" applyNumberFormat="1" applyFont="1" applyFill="1" applyBorder="1"/>
    <xf numFmtId="0" fontId="2" fillId="0" borderId="0" xfId="0" applyFont="1" applyAlignment="1">
      <alignment horizontal="left" indent="1"/>
    </xf>
    <xf numFmtId="4" fontId="6" fillId="0" borderId="0" xfId="0" applyNumberFormat="1" applyFont="1"/>
    <xf numFmtId="165" fontId="6" fillId="0" borderId="0" xfId="0" quotePrefix="1" applyNumberFormat="1" applyFont="1"/>
    <xf numFmtId="3" fontId="0" fillId="0" borderId="0" xfId="0" applyNumberFormat="1"/>
    <xf numFmtId="165" fontId="6" fillId="0" borderId="0" xfId="0" applyNumberFormat="1" applyFont="1" applyAlignment="1">
      <alignment horizontal="right"/>
    </xf>
    <xf numFmtId="0" fontId="20" fillId="9" borderId="0" xfId="0" applyFont="1" applyFill="1"/>
    <xf numFmtId="0" fontId="0" fillId="9" borderId="0" xfId="0" applyFill="1"/>
    <xf numFmtId="0" fontId="6" fillId="10" borderId="0" xfId="0" applyFont="1" applyFill="1"/>
    <xf numFmtId="0" fontId="6" fillId="4" borderId="0" xfId="0" applyFont="1" applyFill="1"/>
    <xf numFmtId="14" fontId="6" fillId="4" borderId="0" xfId="0" applyNumberFormat="1" applyFont="1" applyFill="1"/>
    <xf numFmtId="0" fontId="2" fillId="4" borderId="0" xfId="0" applyFont="1" applyFill="1"/>
    <xf numFmtId="44" fontId="6" fillId="4" borderId="0" xfId="7" applyFont="1" applyFill="1"/>
    <xf numFmtId="44" fontId="6" fillId="4" borderId="0" xfId="0" applyNumberFormat="1" applyFont="1" applyFill="1"/>
    <xf numFmtId="44" fontId="6" fillId="4" borderId="8" xfId="0" applyNumberFormat="1" applyFont="1" applyFill="1" applyBorder="1"/>
    <xf numFmtId="0" fontId="2" fillId="4" borderId="0" xfId="0" applyFont="1" applyFill="1" applyAlignment="1">
      <alignment horizontal="center"/>
    </xf>
    <xf numFmtId="44" fontId="2" fillId="4" borderId="0" xfId="0" applyNumberFormat="1" applyFont="1" applyFill="1"/>
    <xf numFmtId="166" fontId="6" fillId="4" borderId="0" xfId="1" applyNumberFormat="1" applyFont="1" applyFill="1"/>
    <xf numFmtId="166" fontId="19" fillId="0" borderId="0" xfId="0" applyNumberFormat="1" applyFont="1"/>
    <xf numFmtId="173" fontId="25" fillId="12" borderId="0" xfId="0" applyNumberFormat="1" applyFont="1" applyFill="1"/>
    <xf numFmtId="169" fontId="2" fillId="4" borderId="0" xfId="0" applyNumberFormat="1" applyFont="1" applyFill="1"/>
    <xf numFmtId="0" fontId="0" fillId="4" borderId="0" xfId="0" applyFill="1"/>
    <xf numFmtId="173" fontId="25" fillId="11" borderId="15" xfId="0" applyNumberFormat="1" applyFont="1" applyFill="1" applyBorder="1"/>
    <xf numFmtId="0" fontId="6" fillId="4" borderId="0" xfId="0" applyFont="1" applyFill="1" applyAlignment="1">
      <alignment horizontal="left"/>
    </xf>
    <xf numFmtId="169" fontId="0" fillId="0" borderId="0" xfId="0" applyNumberFormat="1"/>
    <xf numFmtId="7" fontId="0" fillId="0" borderId="0" xfId="0" applyNumberFormat="1"/>
    <xf numFmtId="165" fontId="34" fillId="0" borderId="0" xfId="0" applyNumberFormat="1" applyFont="1"/>
    <xf numFmtId="4" fontId="9" fillId="0" borderId="6" xfId="0" applyNumberFormat="1" applyFont="1" applyBorder="1"/>
    <xf numFmtId="0" fontId="5" fillId="4" borderId="0" xfId="0" applyFont="1" applyFill="1"/>
    <xf numFmtId="14" fontId="5" fillId="4" borderId="0" xfId="0" applyNumberFormat="1" applyFont="1" applyFill="1"/>
    <xf numFmtId="9" fontId="6" fillId="4" borderId="0" xfId="1" applyFont="1" applyFill="1" applyBorder="1"/>
    <xf numFmtId="166" fontId="2" fillId="4" borderId="0" xfId="0" applyNumberFormat="1" applyFont="1" applyFill="1"/>
    <xf numFmtId="0" fontId="35" fillId="0" borderId="0" xfId="0" applyFont="1"/>
    <xf numFmtId="0" fontId="10" fillId="0" borderId="0" xfId="0" applyFont="1" applyAlignment="1">
      <alignment horizontal="left" indent="1"/>
    </xf>
    <xf numFmtId="165" fontId="6" fillId="4" borderId="0" xfId="0" applyNumberFormat="1" applyFont="1" applyFill="1"/>
    <xf numFmtId="165" fontId="2" fillId="4" borderId="0" xfId="0" applyNumberFormat="1" applyFont="1" applyFill="1"/>
    <xf numFmtId="0" fontId="6" fillId="9" borderId="0" xfId="0" applyFont="1" applyFill="1" applyAlignment="1">
      <alignment horizontal="left" indent="1"/>
    </xf>
    <xf numFmtId="0" fontId="36" fillId="0" borderId="0" xfId="0" applyFont="1" applyAlignment="1">
      <alignment horizontal="left" readingOrder="1"/>
    </xf>
    <xf numFmtId="0" fontId="37" fillId="13" borderId="0" xfId="0" applyFont="1" applyFill="1"/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167" fontId="38" fillId="0" borderId="6" xfId="7" applyNumberFormat="1" applyFont="1" applyBorder="1"/>
    <xf numFmtId="167" fontId="38" fillId="0" borderId="0" xfId="7" applyNumberFormat="1" applyFont="1" applyBorder="1"/>
    <xf numFmtId="167" fontId="35" fillId="0" borderId="6" xfId="7" applyNumberFormat="1" applyFont="1" applyBorder="1"/>
    <xf numFmtId="167" fontId="35" fillId="0" borderId="0" xfId="7" applyNumberFormat="1" applyFont="1" applyBorder="1"/>
    <xf numFmtId="0" fontId="38" fillId="14" borderId="12" xfId="9" applyFont="1" applyFill="1" applyBorder="1"/>
    <xf numFmtId="0" fontId="35" fillId="14" borderId="12" xfId="9" applyFont="1" applyFill="1" applyBorder="1"/>
    <xf numFmtId="167" fontId="38" fillId="14" borderId="4" xfId="7" applyNumberFormat="1" applyFont="1" applyFill="1" applyBorder="1"/>
    <xf numFmtId="167" fontId="38" fillId="14" borderId="12" xfId="7" applyNumberFormat="1" applyFont="1" applyFill="1" applyBorder="1"/>
    <xf numFmtId="167" fontId="35" fillId="0" borderId="4" xfId="7" applyNumberFormat="1" applyFont="1" applyBorder="1"/>
    <xf numFmtId="0" fontId="36" fillId="0" borderId="0" xfId="9" applyFont="1" applyAlignment="1">
      <alignment horizontal="left" readingOrder="1"/>
    </xf>
    <xf numFmtId="0" fontId="35" fillId="0" borderId="0" xfId="9" applyFont="1"/>
    <xf numFmtId="0" fontId="37" fillId="13" borderId="0" xfId="9" applyFont="1" applyFill="1"/>
    <xf numFmtId="14" fontId="38" fillId="0" borderId="13" xfId="9" applyNumberFormat="1" applyFont="1" applyBorder="1" applyAlignment="1">
      <alignment horizontal="right"/>
    </xf>
    <xf numFmtId="0" fontId="39" fillId="14" borderId="0" xfId="9" applyFont="1" applyFill="1"/>
    <xf numFmtId="0" fontId="40" fillId="14" borderId="0" xfId="9" applyFont="1" applyFill="1"/>
    <xf numFmtId="0" fontId="35" fillId="15" borderId="12" xfId="9" applyFont="1" applyFill="1" applyBorder="1" applyAlignment="1">
      <alignment horizontal="left" indent="2"/>
    </xf>
    <xf numFmtId="0" fontId="38" fillId="15" borderId="12" xfId="9" applyFont="1" applyFill="1" applyBorder="1" applyAlignment="1">
      <alignment horizontal="left" indent="2"/>
    </xf>
    <xf numFmtId="0" fontId="38" fillId="15" borderId="0" xfId="9" applyFont="1" applyFill="1"/>
    <xf numFmtId="0" fontId="35" fillId="15" borderId="0" xfId="9" applyFont="1" applyFill="1" applyAlignment="1">
      <alignment horizontal="left" indent="2"/>
    </xf>
    <xf numFmtId="9" fontId="9" fillId="4" borderId="0" xfId="0" applyNumberFormat="1" applyFont="1" applyFill="1"/>
    <xf numFmtId="0" fontId="9" fillId="4" borderId="0" xfId="0" applyFont="1" applyFill="1"/>
    <xf numFmtId="0" fontId="16" fillId="4" borderId="0" xfId="0" applyFont="1" applyFill="1"/>
    <xf numFmtId="169" fontId="9" fillId="4" borderId="0" xfId="3" applyNumberFormat="1" applyFont="1" applyFill="1" applyBorder="1"/>
    <xf numFmtId="7" fontId="16" fillId="4" borderId="0" xfId="2" applyFont="1" applyFill="1" applyAlignment="1">
      <alignment horizontal="left"/>
    </xf>
    <xf numFmtId="169" fontId="16" fillId="4" borderId="0" xfId="3" applyNumberFormat="1" applyFont="1" applyFill="1" applyBorder="1"/>
    <xf numFmtId="7" fontId="9" fillId="4" borderId="0" xfId="2" applyFont="1" applyFill="1"/>
    <xf numFmtId="169" fontId="9" fillId="4" borderId="0" xfId="2" applyNumberFormat="1" applyFont="1" applyFill="1"/>
    <xf numFmtId="179" fontId="36" fillId="9" borderId="0" xfId="9" applyNumberFormat="1" applyFont="1" applyFill="1" applyAlignment="1">
      <alignment horizontal="left" indent="1"/>
    </xf>
    <xf numFmtId="0" fontId="39" fillId="15" borderId="0" xfId="9" applyFont="1" applyFill="1"/>
    <xf numFmtId="0" fontId="40" fillId="15" borderId="0" xfId="9" applyFont="1" applyFill="1"/>
    <xf numFmtId="179" fontId="36" fillId="4" borderId="0" xfId="9" applyNumberFormat="1" applyFont="1" applyFill="1" applyAlignment="1">
      <alignment horizontal="left" indent="1"/>
    </xf>
    <xf numFmtId="0" fontId="38" fillId="15" borderId="0" xfId="9" applyFont="1" applyFill="1" applyAlignment="1">
      <alignment horizontal="left" indent="2"/>
    </xf>
    <xf numFmtId="0" fontId="35" fillId="4" borderId="0" xfId="0" applyFont="1" applyFill="1" applyAlignment="1">
      <alignment wrapText="1"/>
    </xf>
    <xf numFmtId="0" fontId="38" fillId="4" borderId="0" xfId="0" applyFont="1" applyFill="1" applyAlignment="1">
      <alignment wrapText="1"/>
    </xf>
    <xf numFmtId="0" fontId="35" fillId="4" borderId="0" xfId="9" applyFont="1" applyFill="1"/>
    <xf numFmtId="0" fontId="35" fillId="4" borderId="0" xfId="0" applyFont="1" applyFill="1"/>
    <xf numFmtId="0" fontId="35" fillId="4" borderId="0" xfId="0" applyFont="1" applyFill="1" applyAlignment="1">
      <alignment horizontal="left" vertical="center" indent="2"/>
    </xf>
    <xf numFmtId="0" fontId="35" fillId="4" borderId="0" xfId="0" applyFont="1" applyFill="1" applyAlignment="1">
      <alignment horizontal="left" vertical="center" indent="3"/>
    </xf>
    <xf numFmtId="0" fontId="38" fillId="4" borderId="0" xfId="0" applyFont="1" applyFill="1"/>
    <xf numFmtId="0" fontId="38" fillId="4" borderId="0" xfId="9" applyFont="1" applyFill="1"/>
    <xf numFmtId="0" fontId="35" fillId="4" borderId="0" xfId="9" applyFont="1" applyFill="1" applyAlignment="1">
      <alignment horizontal="left" indent="3"/>
    </xf>
    <xf numFmtId="0" fontId="35" fillId="4" borderId="0" xfId="0" applyFont="1" applyFill="1" applyAlignment="1">
      <alignment horizontal="left" wrapText="1" indent="2"/>
    </xf>
    <xf numFmtId="0" fontId="38" fillId="4" borderId="0" xfId="0" applyFont="1" applyFill="1" applyAlignment="1">
      <alignment horizontal="left" wrapText="1" indent="2"/>
    </xf>
    <xf numFmtId="179" fontId="38" fillId="9" borderId="0" xfId="9" applyNumberFormat="1" applyFont="1" applyFill="1" applyAlignment="1">
      <alignment horizontal="left" indent="1"/>
    </xf>
    <xf numFmtId="0" fontId="35" fillId="4" borderId="0" xfId="0" applyFont="1" applyFill="1" applyAlignment="1">
      <alignment horizontal="left" wrapText="1" indent="1"/>
    </xf>
    <xf numFmtId="0" fontId="35" fillId="4" borderId="0" xfId="0" applyFont="1" applyFill="1" applyAlignment="1">
      <alignment horizontal="left" vertical="center" indent="1"/>
    </xf>
    <xf numFmtId="0" fontId="35" fillId="4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left" vertical="center"/>
    </xf>
    <xf numFmtId="0" fontId="35" fillId="15" borderId="0" xfId="9" applyFont="1" applyFill="1"/>
    <xf numFmtId="10" fontId="38" fillId="4" borderId="0" xfId="0" applyNumberFormat="1" applyFont="1" applyFill="1"/>
    <xf numFmtId="0" fontId="35" fillId="4" borderId="8" xfId="0" applyFont="1" applyFill="1" applyBorder="1" applyAlignment="1">
      <alignment wrapText="1"/>
    </xf>
    <xf numFmtId="0" fontId="35" fillId="4" borderId="8" xfId="0" applyFont="1" applyFill="1" applyBorder="1" applyAlignment="1">
      <alignment horizontal="left" vertical="center" indent="1"/>
    </xf>
    <xf numFmtId="10" fontId="38" fillId="4" borderId="16" xfId="0" applyNumberFormat="1" applyFont="1" applyFill="1" applyBorder="1"/>
    <xf numFmtId="43" fontId="40" fillId="15" borderId="12" xfId="9" applyNumberFormat="1" applyFont="1" applyFill="1" applyBorder="1" applyAlignment="1">
      <alignment horizontal="right"/>
    </xf>
    <xf numFmtId="43" fontId="38" fillId="15" borderId="0" xfId="9" applyNumberFormat="1" applyFont="1" applyFill="1" applyAlignment="1">
      <alignment horizontal="right"/>
    </xf>
    <xf numFmtId="43" fontId="35" fillId="15" borderId="8" xfId="8" applyFont="1" applyFill="1" applyBorder="1" applyAlignment="1">
      <alignment horizontal="right"/>
    </xf>
    <xf numFmtId="43" fontId="35" fillId="15" borderId="12" xfId="8" applyFont="1" applyFill="1" applyBorder="1" applyAlignment="1">
      <alignment horizontal="right"/>
    </xf>
    <xf numFmtId="43" fontId="35" fillId="15" borderId="0" xfId="8" applyFont="1" applyFill="1" applyBorder="1" applyAlignment="1">
      <alignment horizontal="right"/>
    </xf>
    <xf numFmtId="43" fontId="35" fillId="4" borderId="0" xfId="8" applyFont="1" applyFill="1" applyBorder="1" applyAlignment="1">
      <alignment horizontal="right" wrapText="1"/>
    </xf>
    <xf numFmtId="43" fontId="38" fillId="4" borderId="8" xfId="8" applyFont="1" applyFill="1" applyBorder="1" applyAlignment="1">
      <alignment horizontal="right" wrapText="1"/>
    </xf>
    <xf numFmtId="43" fontId="38" fillId="4" borderId="0" xfId="8" applyFont="1" applyFill="1" applyBorder="1" applyAlignment="1">
      <alignment horizontal="right" wrapText="1"/>
    </xf>
    <xf numFmtId="43" fontId="35" fillId="4" borderId="0" xfId="0" applyNumberFormat="1" applyFont="1" applyFill="1" applyAlignment="1">
      <alignment horizontal="right"/>
    </xf>
    <xf numFmtId="43" fontId="35" fillId="4" borderId="0" xfId="8" applyFont="1" applyFill="1" applyBorder="1" applyAlignment="1">
      <alignment horizontal="right"/>
    </xf>
    <xf numFmtId="43" fontId="35" fillId="4" borderId="8" xfId="8" applyFont="1" applyFill="1" applyBorder="1" applyAlignment="1">
      <alignment horizontal="right"/>
    </xf>
    <xf numFmtId="43" fontId="35" fillId="4" borderId="12" xfId="0" applyNumberFormat="1" applyFont="1" applyFill="1" applyBorder="1" applyAlignment="1">
      <alignment horizontal="right"/>
    </xf>
    <xf numFmtId="43" fontId="41" fillId="4" borderId="0" xfId="0" applyNumberFormat="1" applyFont="1" applyFill="1" applyAlignment="1">
      <alignment horizontal="right"/>
    </xf>
    <xf numFmtId="43" fontId="35" fillId="4" borderId="0" xfId="7" applyNumberFormat="1" applyFont="1" applyFill="1" applyBorder="1" applyAlignment="1">
      <alignment horizontal="right"/>
    </xf>
    <xf numFmtId="43" fontId="35" fillId="4" borderId="0" xfId="0" applyNumberFormat="1" applyFont="1" applyFill="1" applyAlignment="1">
      <alignment horizontal="right" vertical="center"/>
    </xf>
    <xf numFmtId="43" fontId="35" fillId="15" borderId="0" xfId="9" applyNumberFormat="1" applyFont="1" applyFill="1" applyAlignment="1">
      <alignment horizontal="right"/>
    </xf>
    <xf numFmtId="43" fontId="35" fillId="4" borderId="0" xfId="9" applyNumberFormat="1" applyFont="1" applyFill="1" applyAlignment="1">
      <alignment horizontal="right"/>
    </xf>
    <xf numFmtId="43" fontId="38" fillId="4" borderId="16" xfId="0" applyNumberFormat="1" applyFont="1" applyFill="1" applyBorder="1" applyAlignment="1">
      <alignment horizontal="right"/>
    </xf>
    <xf numFmtId="10" fontId="32" fillId="4" borderId="0" xfId="1" applyNumberFormat="1" applyFont="1" applyFill="1" applyBorder="1" applyAlignment="1">
      <alignment horizontal="right"/>
    </xf>
    <xf numFmtId="167" fontId="38" fillId="14" borderId="10" xfId="7" applyNumberFormat="1" applyFont="1" applyFill="1" applyBorder="1"/>
    <xf numFmtId="0" fontId="42" fillId="0" borderId="0" xfId="0" applyFont="1"/>
    <xf numFmtId="165" fontId="6" fillId="0" borderId="0" xfId="0" quotePrefix="1" applyNumberFormat="1" applyFont="1" applyAlignment="1">
      <alignment horizontal="right"/>
    </xf>
    <xf numFmtId="173" fontId="6" fillId="0" borderId="0" xfId="0" applyNumberFormat="1" applyFont="1"/>
    <xf numFmtId="173" fontId="0" fillId="0" borderId="0" xfId="0" applyNumberFormat="1"/>
    <xf numFmtId="0" fontId="28" fillId="0" borderId="0" xfId="0" quotePrefix="1" applyFont="1" applyAlignment="1">
      <alignment horizontal="right"/>
    </xf>
    <xf numFmtId="165" fontId="28" fillId="0" borderId="0" xfId="0" applyNumberFormat="1" applyFont="1" applyAlignment="1">
      <alignment horizontal="right"/>
    </xf>
    <xf numFmtId="180" fontId="6" fillId="0" borderId="6" xfId="0" applyNumberFormat="1" applyFont="1" applyBorder="1"/>
    <xf numFmtId="3" fontId="6" fillId="0" borderId="0" xfId="0" applyNumberFormat="1" applyFont="1"/>
    <xf numFmtId="166" fontId="24" fillId="0" borderId="0" xfId="0" applyNumberFormat="1" applyFont="1" applyAlignment="1">
      <alignment horizontal="right" vertical="top" wrapText="1"/>
    </xf>
    <xf numFmtId="43" fontId="0" fillId="0" borderId="0" xfId="0" applyNumberFormat="1"/>
    <xf numFmtId="165" fontId="6" fillId="16" borderId="0" xfId="0" applyNumberFormat="1" applyFont="1" applyFill="1" applyAlignment="1">
      <alignment horizontal="right"/>
    </xf>
    <xf numFmtId="165" fontId="6" fillId="16" borderId="0" xfId="0" applyNumberFormat="1" applyFont="1" applyFill="1"/>
    <xf numFmtId="165" fontId="2" fillId="0" borderId="0" xfId="0" applyNumberFormat="1" applyFont="1" applyAlignment="1">
      <alignment horizontal="right"/>
    </xf>
    <xf numFmtId="165" fontId="6" fillId="16" borderId="0" xfId="0" quotePrefix="1" applyNumberFormat="1" applyFont="1" applyFill="1" applyAlignment="1">
      <alignment horizontal="right"/>
    </xf>
    <xf numFmtId="165" fontId="6" fillId="17" borderId="0" xfId="0" applyNumberFormat="1" applyFont="1" applyFill="1" applyAlignment="1">
      <alignment horizontal="right"/>
    </xf>
    <xf numFmtId="165" fontId="6" fillId="17" borderId="0" xfId="0" applyNumberFormat="1" applyFont="1" applyFill="1"/>
    <xf numFmtId="165" fontId="28" fillId="4" borderId="0" xfId="0" applyNumberFormat="1" applyFont="1" applyFill="1" applyAlignment="1">
      <alignment horizontal="right"/>
    </xf>
    <xf numFmtId="0" fontId="0" fillId="4" borderId="0" xfId="0" applyFill="1" applyAlignment="1">
      <alignment vertical="center"/>
    </xf>
    <xf numFmtId="165" fontId="6" fillId="18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165" fontId="34" fillId="0" borderId="0" xfId="0" applyNumberFormat="1" applyFont="1" applyAlignment="1">
      <alignment horizontal="right"/>
    </xf>
    <xf numFmtId="165" fontId="28" fillId="5" borderId="0" xfId="0" applyNumberFormat="1" applyFont="1" applyFill="1" applyAlignment="1">
      <alignment horizontal="right"/>
    </xf>
    <xf numFmtId="165" fontId="6" fillId="4" borderId="0" xfId="1" applyNumberFormat="1" applyFont="1" applyFill="1" applyBorder="1" applyAlignment="1">
      <alignment horizontal="right"/>
    </xf>
    <xf numFmtId="165" fontId="28" fillId="0" borderId="0" xfId="0" quotePrefix="1" applyNumberFormat="1" applyFont="1" applyAlignment="1">
      <alignment horizontal="right"/>
    </xf>
    <xf numFmtId="0" fontId="43" fillId="0" borderId="0" xfId="0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31" fillId="4" borderId="0" xfId="0" applyFont="1" applyFill="1"/>
    <xf numFmtId="0" fontId="6" fillId="4" borderId="0" xfId="0" applyFont="1" applyFill="1" applyAlignment="1">
      <alignment horizontal="left" indent="1"/>
    </xf>
    <xf numFmtId="9" fontId="9" fillId="0" borderId="9" xfId="0" applyNumberFormat="1" applyFont="1" applyBorder="1"/>
    <xf numFmtId="169" fontId="9" fillId="0" borderId="6" xfId="3" applyNumberFormat="1" applyFont="1" applyFill="1" applyBorder="1"/>
    <xf numFmtId="170" fontId="9" fillId="0" borderId="6" xfId="2" applyNumberFormat="1" applyFont="1" applyBorder="1" applyAlignment="1">
      <alignment vertical="center"/>
    </xf>
    <xf numFmtId="169" fontId="9" fillId="0" borderId="9" xfId="3" applyNumberFormat="1" applyFont="1" applyFill="1" applyBorder="1"/>
    <xf numFmtId="169" fontId="16" fillId="0" borderId="9" xfId="3" applyNumberFormat="1" applyFont="1" applyFill="1" applyBorder="1"/>
    <xf numFmtId="0" fontId="5" fillId="2" borderId="6" xfId="0" applyFont="1" applyFill="1" applyBorder="1"/>
    <xf numFmtId="0" fontId="16" fillId="2" borderId="6" xfId="0" applyFont="1" applyFill="1" applyBorder="1"/>
    <xf numFmtId="169" fontId="9" fillId="0" borderId="6" xfId="2" applyNumberFormat="1" applyFont="1" applyBorder="1"/>
    <xf numFmtId="169" fontId="20" fillId="0" borderId="6" xfId="0" applyNumberFormat="1" applyFont="1" applyBorder="1"/>
    <xf numFmtId="177" fontId="9" fillId="0" borderId="6" xfId="0" applyNumberFormat="1" applyFont="1" applyBorder="1"/>
    <xf numFmtId="169" fontId="9" fillId="0" borderId="6" xfId="0" applyNumberFormat="1" applyFont="1" applyBorder="1"/>
    <xf numFmtId="178" fontId="9" fillId="0" borderId="6" xfId="0" applyNumberFormat="1" applyFont="1" applyBorder="1"/>
    <xf numFmtId="169" fontId="16" fillId="0" borderId="10" xfId="2" applyNumberFormat="1" applyFont="1" applyBorder="1"/>
    <xf numFmtId="43" fontId="6" fillId="0" borderId="0" xfId="0" applyNumberFormat="1" applyFont="1"/>
    <xf numFmtId="0" fontId="13" fillId="3" borderId="6" xfId="0" applyFont="1" applyFill="1" applyBorder="1"/>
    <xf numFmtId="0" fontId="5" fillId="3" borderId="6" xfId="0" applyFont="1" applyFill="1" applyBorder="1"/>
    <xf numFmtId="169" fontId="9" fillId="4" borderId="6" xfId="3" applyNumberFormat="1" applyFont="1" applyFill="1" applyBorder="1"/>
    <xf numFmtId="0" fontId="5" fillId="3" borderId="5" xfId="0" applyFont="1" applyFill="1" applyBorder="1"/>
    <xf numFmtId="0" fontId="6" fillId="4" borderId="5" xfId="0" applyFont="1" applyFill="1" applyBorder="1"/>
    <xf numFmtId="7" fontId="16" fillId="4" borderId="11" xfId="2" applyFont="1" applyFill="1" applyBorder="1" applyAlignment="1">
      <alignment horizontal="left"/>
    </xf>
    <xf numFmtId="169" fontId="9" fillId="4" borderId="10" xfId="3" applyNumberFormat="1" applyFont="1" applyFill="1" applyBorder="1"/>
    <xf numFmtId="169" fontId="16" fillId="4" borderId="6" xfId="0" applyNumberFormat="1" applyFont="1" applyFill="1" applyBorder="1"/>
    <xf numFmtId="169" fontId="16" fillId="4" borderId="10" xfId="3" applyNumberFormat="1" applyFont="1" applyFill="1" applyBorder="1"/>
    <xf numFmtId="178" fontId="9" fillId="4" borderId="6" xfId="3" applyNumberFormat="1" applyFont="1" applyFill="1" applyBorder="1"/>
    <xf numFmtId="169" fontId="9" fillId="4" borderId="6" xfId="0" applyNumberFormat="1" applyFont="1" applyFill="1" applyBorder="1"/>
    <xf numFmtId="180" fontId="9" fillId="4" borderId="6" xfId="3" applyNumberFormat="1" applyFont="1" applyFill="1" applyBorder="1"/>
    <xf numFmtId="167" fontId="9" fillId="0" borderId="4" xfId="2" applyNumberFormat="1" applyFont="1" applyBorder="1"/>
    <xf numFmtId="169" fontId="5" fillId="3" borderId="0" xfId="0" applyNumberFormat="1" applyFont="1" applyFill="1"/>
    <xf numFmtId="0" fontId="2" fillId="4" borderId="11" xfId="0" applyFont="1" applyFill="1" applyBorder="1"/>
    <xf numFmtId="167" fontId="30" fillId="4" borderId="0" xfId="0" applyNumberFormat="1" applyFont="1" applyFill="1"/>
    <xf numFmtId="10" fontId="30" fillId="4" borderId="0" xfId="1" applyNumberFormat="1" applyFont="1" applyFill="1" applyBorder="1"/>
    <xf numFmtId="0" fontId="2" fillId="4" borderId="0" xfId="0" applyFont="1" applyFill="1" applyAlignment="1">
      <alignment horizontal="centerContinuous"/>
    </xf>
    <xf numFmtId="0" fontId="6" fillId="4" borderId="0" xfId="0" applyFont="1" applyFill="1" applyAlignment="1">
      <alignment horizontal="center" vertical="center"/>
    </xf>
    <xf numFmtId="169" fontId="29" fillId="4" borderId="0" xfId="0" applyNumberFormat="1" applyFont="1" applyFill="1"/>
    <xf numFmtId="10" fontId="13" fillId="4" borderId="0" xfId="0" applyNumberFormat="1" applyFont="1" applyFill="1" applyAlignment="1">
      <alignment horizontal="center"/>
    </xf>
    <xf numFmtId="171" fontId="13" fillId="4" borderId="0" xfId="0" applyNumberFormat="1" applyFont="1" applyFill="1"/>
    <xf numFmtId="8" fontId="6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right" vertical="center"/>
    </xf>
    <xf numFmtId="10" fontId="13" fillId="4" borderId="0" xfId="0" applyNumberFormat="1" applyFont="1" applyFill="1"/>
    <xf numFmtId="166" fontId="13" fillId="4" borderId="0" xfId="1" applyNumberFormat="1" applyFont="1" applyFill="1" applyBorder="1"/>
    <xf numFmtId="0" fontId="34" fillId="4" borderId="0" xfId="0" applyFont="1" applyFill="1" applyAlignment="1">
      <alignment horizontal="center"/>
    </xf>
    <xf numFmtId="7" fontId="9" fillId="4" borderId="5" xfId="2" applyFont="1" applyFill="1" applyBorder="1" applyAlignment="1">
      <alignment horizontal="left"/>
    </xf>
    <xf numFmtId="167" fontId="6" fillId="0" borderId="10" xfId="0" applyNumberFormat="1" applyFont="1" applyBorder="1"/>
    <xf numFmtId="167" fontId="9" fillId="0" borderId="6" xfId="0" applyNumberFormat="1" applyFont="1" applyBorder="1"/>
    <xf numFmtId="0" fontId="6" fillId="0" borderId="11" xfId="0" applyFont="1" applyBorder="1"/>
    <xf numFmtId="181" fontId="9" fillId="4" borderId="6" xfId="0" applyNumberFormat="1" applyFont="1" applyFill="1" applyBorder="1"/>
    <xf numFmtId="4" fontId="10" fillId="5" borderId="0" xfId="0" applyNumberFormat="1" applyFont="1" applyFill="1"/>
    <xf numFmtId="4" fontId="25" fillId="11" borderId="14" xfId="0" applyNumberFormat="1" applyFont="1" applyFill="1" applyBorder="1"/>
    <xf numFmtId="182" fontId="24" fillId="0" borderId="0" xfId="0" applyNumberFormat="1" applyFont="1" applyAlignment="1">
      <alignment horizontal="right" vertical="top" wrapText="1"/>
    </xf>
    <xf numFmtId="182" fontId="26" fillId="0" borderId="0" xfId="0" applyNumberFormat="1" applyFont="1"/>
    <xf numFmtId="182" fontId="25" fillId="11" borderId="14" xfId="0" applyNumberFormat="1" applyFont="1" applyFill="1" applyBorder="1"/>
    <xf numFmtId="182" fontId="9" fillId="4" borderId="0" xfId="0" applyNumberFormat="1" applyFont="1" applyFill="1"/>
    <xf numFmtId="183" fontId="9" fillId="4" borderId="6" xfId="3" applyNumberFormat="1" applyFont="1" applyFill="1" applyBorder="1"/>
    <xf numFmtId="0" fontId="6" fillId="3" borderId="0" xfId="0" applyFont="1" applyFill="1"/>
    <xf numFmtId="181" fontId="6" fillId="0" borderId="0" xfId="0" applyNumberFormat="1" applyFont="1"/>
    <xf numFmtId="181" fontId="6" fillId="4" borderId="0" xfId="0" applyNumberFormat="1" applyFont="1" applyFill="1"/>
    <xf numFmtId="182" fontId="6" fillId="0" borderId="0" xfId="0" applyNumberFormat="1" applyFont="1"/>
    <xf numFmtId="182" fontId="6" fillId="4" borderId="0" xfId="0" applyNumberFormat="1" applyFont="1" applyFill="1"/>
    <xf numFmtId="0" fontId="35" fillId="0" borderId="0" xfId="0" applyFont="1" applyBorder="1"/>
    <xf numFmtId="10" fontId="6" fillId="4" borderId="0" xfId="0" applyNumberFormat="1" applyFont="1" applyFill="1"/>
    <xf numFmtId="182" fontId="2" fillId="0" borderId="0" xfId="0" applyNumberFormat="1" applyFont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64" fontId="3" fillId="9" borderId="0" xfId="0" applyNumberFormat="1" applyFont="1" applyFill="1" applyAlignment="1">
      <alignment horizontal="center"/>
    </xf>
    <xf numFmtId="164" fontId="4" fillId="9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2" fontId="23" fillId="7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9" borderId="12" xfId="0" applyNumberFormat="1" applyFont="1" applyFill="1" applyBorder="1" applyAlignment="1">
      <alignment horizontal="center"/>
    </xf>
    <xf numFmtId="166" fontId="2" fillId="9" borderId="10" xfId="0" applyNumberFormat="1" applyFont="1" applyFill="1" applyBorder="1" applyAlignment="1">
      <alignment horizontal="center"/>
    </xf>
    <xf numFmtId="166" fontId="5" fillId="3" borderId="12" xfId="1" applyNumberFormat="1" applyFont="1" applyFill="1" applyBorder="1" applyAlignment="1">
      <alignment horizontal="center"/>
    </xf>
    <xf numFmtId="166" fontId="5" fillId="3" borderId="10" xfId="1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166" fontId="6" fillId="0" borderId="4" xfId="1" applyNumberFormat="1" applyFont="1" applyBorder="1" applyAlignment="1">
      <alignment horizontal="center"/>
    </xf>
    <xf numFmtId="166" fontId="6" fillId="0" borderId="8" xfId="1" applyNumberFormat="1" applyFont="1" applyBorder="1" applyAlignment="1">
      <alignment horizontal="center"/>
    </xf>
    <xf numFmtId="166" fontId="6" fillId="0" borderId="9" xfId="1" applyNumberFormat="1" applyFont="1" applyBorder="1" applyAlignment="1">
      <alignment horizontal="center"/>
    </xf>
    <xf numFmtId="0" fontId="35" fillId="9" borderId="0" xfId="0" applyFont="1" applyFill="1"/>
    <xf numFmtId="179" fontId="36" fillId="4" borderId="0" xfId="9" applyNumberFormat="1" applyFont="1" applyFill="1" applyAlignment="1">
      <alignment horizontal="right" indent="1"/>
    </xf>
    <xf numFmtId="0" fontId="35" fillId="4" borderId="8" xfId="0" applyFont="1" applyFill="1" applyBorder="1" applyAlignment="1">
      <alignment horizontal="right"/>
    </xf>
    <xf numFmtId="43" fontId="35" fillId="15" borderId="12" xfId="9" applyNumberFormat="1" applyFont="1" applyFill="1" applyBorder="1" applyAlignment="1">
      <alignment horizontal="right" indent="2"/>
    </xf>
    <xf numFmtId="43" fontId="35" fillId="4" borderId="0" xfId="9" applyNumberFormat="1" applyFont="1" applyFill="1" applyAlignment="1">
      <alignment horizontal="right" indent="3"/>
    </xf>
    <xf numFmtId="43" fontId="35" fillId="4" borderId="8" xfId="0" applyNumberFormat="1" applyFont="1" applyFill="1" applyBorder="1" applyAlignment="1">
      <alignment horizontal="right"/>
    </xf>
    <xf numFmtId="43" fontId="38" fillId="4" borderId="12" xfId="0" applyNumberFormat="1" applyFont="1" applyFill="1" applyBorder="1" applyAlignment="1">
      <alignment horizontal="right"/>
    </xf>
    <xf numFmtId="43" fontId="36" fillId="4" borderId="0" xfId="9" applyNumberFormat="1" applyFont="1" applyFill="1" applyAlignment="1">
      <alignment horizontal="right" indent="1"/>
    </xf>
    <xf numFmtId="43" fontId="38" fillId="15" borderId="12" xfId="9" applyNumberFormat="1" applyFont="1" applyFill="1" applyBorder="1" applyAlignment="1">
      <alignment horizontal="right" indent="2"/>
    </xf>
    <xf numFmtId="43" fontId="38" fillId="15" borderId="0" xfId="9" applyNumberFormat="1" applyFont="1" applyFill="1" applyAlignment="1">
      <alignment horizontal="right" indent="2"/>
    </xf>
    <xf numFmtId="43" fontId="35" fillId="4" borderId="8" xfId="9" applyNumberFormat="1" applyFont="1" applyFill="1" applyBorder="1" applyAlignment="1">
      <alignment horizontal="right" indent="3"/>
    </xf>
    <xf numFmtId="43" fontId="38" fillId="15" borderId="8" xfId="9" applyNumberFormat="1" applyFont="1" applyFill="1" applyBorder="1" applyAlignment="1">
      <alignment horizontal="right" indent="2"/>
    </xf>
    <xf numFmtId="43" fontId="36" fillId="9" borderId="0" xfId="9" applyNumberFormat="1" applyFont="1" applyFill="1" applyAlignment="1">
      <alignment horizontal="right" indent="1"/>
    </xf>
    <xf numFmtId="43" fontId="35" fillId="9" borderId="0" xfId="0" applyNumberFormat="1" applyFont="1" applyFill="1" applyAlignment="1">
      <alignment horizontal="right"/>
    </xf>
    <xf numFmtId="43" fontId="35" fillId="4" borderId="0" xfId="0" applyNumberFormat="1" applyFont="1" applyFill="1" applyAlignment="1">
      <alignment horizontal="right" wrapText="1"/>
    </xf>
    <xf numFmtId="43" fontId="35" fillId="4" borderId="8" xfId="0" applyNumberFormat="1" applyFont="1" applyFill="1" applyBorder="1" applyAlignment="1">
      <alignment horizontal="right" wrapText="1"/>
    </xf>
    <xf numFmtId="43" fontId="38" fillId="4" borderId="0" xfId="0" applyNumberFormat="1" applyFont="1" applyFill="1" applyAlignment="1">
      <alignment horizontal="right" wrapText="1"/>
    </xf>
    <xf numFmtId="43" fontId="35" fillId="15" borderId="0" xfId="9" applyNumberFormat="1" applyFont="1" applyFill="1" applyAlignment="1">
      <alignment horizontal="right" indent="2"/>
    </xf>
    <xf numFmtId="43" fontId="38" fillId="9" borderId="0" xfId="9" applyNumberFormat="1" applyFont="1" applyFill="1" applyAlignment="1">
      <alignment horizontal="right" indent="1"/>
    </xf>
    <xf numFmtId="0" fontId="35" fillId="4" borderId="0" xfId="0" applyFont="1" applyFill="1" applyAlignment="1">
      <alignment horizontal="center" wrapText="1"/>
    </xf>
    <xf numFmtId="43" fontId="38" fillId="4" borderId="0" xfId="0" applyNumberFormat="1" applyFont="1" applyFill="1" applyAlignment="1">
      <alignment horizontal="right"/>
    </xf>
    <xf numFmtId="43" fontId="35" fillId="4" borderId="0" xfId="0" applyNumberFormat="1" applyFont="1" applyFill="1" applyAlignment="1">
      <alignment horizontal="right" wrapText="1" indent="1"/>
    </xf>
    <xf numFmtId="43" fontId="35" fillId="4" borderId="0" xfId="0" applyNumberFormat="1" applyFont="1" applyFill="1" applyAlignment="1">
      <alignment horizontal="right" vertical="center" indent="1"/>
    </xf>
    <xf numFmtId="43" fontId="35" fillId="4" borderId="0" xfId="0" applyNumberFormat="1" applyFont="1" applyFill="1" applyAlignment="1">
      <alignment horizontal="right" vertical="center" indent="2"/>
    </xf>
    <xf numFmtId="43" fontId="35" fillId="4" borderId="8" xfId="0" applyNumberFormat="1" applyFont="1" applyFill="1" applyBorder="1" applyAlignment="1">
      <alignment horizontal="right" vertical="center" indent="1"/>
    </xf>
    <xf numFmtId="43" fontId="38" fillId="4" borderId="0" xfId="0" applyNumberFormat="1" applyFont="1" applyFill="1" applyAlignment="1">
      <alignment horizontal="right" vertical="center"/>
    </xf>
    <xf numFmtId="43" fontId="35" fillId="4" borderId="0" xfId="0" applyNumberFormat="1" applyFont="1" applyFill="1" applyAlignment="1">
      <alignment horizontal="right" vertical="center" indent="3"/>
    </xf>
    <xf numFmtId="9" fontId="35" fillId="4" borderId="0" xfId="1" applyFont="1" applyFill="1"/>
  </cellXfs>
  <cellStyles count="10">
    <cellStyle name="Comma" xfId="8" builtinId="3"/>
    <cellStyle name="Currency" xfId="7" builtinId="4"/>
    <cellStyle name="Currency 2 2" xfId="3" xr:uid="{F599E857-4166-41B1-A10F-DE1F007D13BF}"/>
    <cellStyle name="Normal" xfId="0" builtinId="0"/>
    <cellStyle name="Normal 2" xfId="5" xr:uid="{86C36A91-ECF3-430B-B0EC-85C2DEFA6CA4}"/>
    <cellStyle name="Normal 2 3" xfId="6" xr:uid="{90C04090-390E-42EC-B017-BC891472D051}"/>
    <cellStyle name="Normal 3" xfId="9" xr:uid="{42029D05-55A1-4B2A-84CB-3A6A52B5C66D}"/>
    <cellStyle name="Normal_Comps_060306" xfId="2" xr:uid="{A61262E3-E248-48CF-873B-D188086F6F9A}"/>
    <cellStyle name="Percent" xfId="1" builtinId="5"/>
    <cellStyle name="Percent 10 7" xfId="4" xr:uid="{E5215E47-4D56-4B87-B38D-A033AFA966F0}"/>
  </cellStyles>
  <dxfs count="0"/>
  <tableStyles count="0" defaultTableStyle="TableStyleMedium2" defaultPivotStyle="PivotStyleLight16"/>
  <colors>
    <mruColors>
      <color rgb="FF203764"/>
      <color rgb="FF113CCF"/>
      <color rgb="FFBFF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AER_IS!$C$13</c:f>
              <c:strCache>
                <c:ptCount val="1"/>
                <c:pt idx="0">
                  <c:v>Gain (loss) on sale of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AER_IS!$D$10:$H$10</c:f>
              <c:strCache>
                <c:ptCount val="5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</c:strCache>
            </c:strRef>
          </c:cat>
          <c:val>
            <c:numRef>
              <c:f>AER_IS!$D$13:$H$13</c:f>
              <c:numCache>
                <c:formatCode>_(* #,##0.0_);_(* \(#,##0.0\)_)\ ;_(* 0_)</c:formatCode>
                <c:ptCount val="5"/>
                <c:pt idx="0">
                  <c:v>201.3</c:v>
                </c:pt>
                <c:pt idx="1">
                  <c:v>188.8</c:v>
                </c:pt>
                <c:pt idx="2">
                  <c:v>89.6</c:v>
                </c:pt>
                <c:pt idx="3">
                  <c:v>89.4</c:v>
                </c:pt>
                <c:pt idx="4">
                  <c:v>228.9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9-46AC-8B78-BCD577DCD0FD}"/>
            </c:ext>
          </c:extLst>
        </c:ser>
        <c:ser>
          <c:idx val="2"/>
          <c:order val="2"/>
          <c:tx>
            <c:strRef>
              <c:f>AER_IS!$C$15</c:f>
              <c:strCache>
                <c:ptCount val="1"/>
                <c:pt idx="0">
                  <c:v>  Total Revenues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AER_IS!$D$10:$H$10</c:f>
              <c:strCache>
                <c:ptCount val="5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</c:strCache>
            </c:strRef>
          </c:cat>
          <c:val>
            <c:numRef>
              <c:f>AER_IS!$D$15:$H$15</c:f>
              <c:numCache>
                <c:formatCode>_(* #,##0.0_);_(* \(#,##0.0\)_)\ ;_(* 0_)</c:formatCode>
                <c:ptCount val="5"/>
                <c:pt idx="0">
                  <c:v>4800.0000000000009</c:v>
                </c:pt>
                <c:pt idx="1">
                  <c:v>4937.3</c:v>
                </c:pt>
                <c:pt idx="2">
                  <c:v>4493.6050000000005</c:v>
                </c:pt>
                <c:pt idx="3">
                  <c:v>5223.9739999999993</c:v>
                </c:pt>
                <c:pt idx="4">
                  <c:v>7013.4739999999993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49-46AC-8B78-BCD577DCD0FD}"/>
            </c:ext>
          </c:extLst>
        </c:ser>
        <c:ser>
          <c:idx val="4"/>
          <c:order val="4"/>
          <c:tx>
            <c:strRef>
              <c:f>AER_IS!$C$17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AER_IS!$D$10:$H$10</c:f>
              <c:strCache>
                <c:ptCount val="5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</c:strCache>
            </c:strRef>
          </c:cat>
          <c:val>
            <c:numRef>
              <c:f>AER_IS!$D$17:$H$17</c:f>
              <c:numCache>
                <c:formatCode>_(* #,##0.0_);_(* \(#,##0.0\)_)\ ;_(* 0_)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5D49-46AC-8B78-BCD577DCD0FD}"/>
            </c:ext>
          </c:extLst>
        </c:ser>
        <c:ser>
          <c:idx val="7"/>
          <c:order val="7"/>
          <c:tx>
            <c:strRef>
              <c:f>AER_IS!$C$21</c:f>
              <c:strCache>
                <c:ptCount val="1"/>
                <c:pt idx="0">
                  <c:v>Interest expense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AER_IS!$D$10:$H$10</c:f>
              <c:strCache>
                <c:ptCount val="5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</c:strCache>
            </c:strRef>
          </c:cat>
          <c:val>
            <c:numRef>
              <c:f>AER_IS!$D$21:$H$21</c:f>
              <c:numCache>
                <c:formatCode>_(* #,##0.0_);_(* \(#,##0.0\)_)\ ;_(* 0_)</c:formatCode>
                <c:ptCount val="5"/>
                <c:pt idx="0">
                  <c:v>1174.0999999999999</c:v>
                </c:pt>
                <c:pt idx="1">
                  <c:v>1295</c:v>
                </c:pt>
                <c:pt idx="2">
                  <c:v>1248.2</c:v>
                </c:pt>
                <c:pt idx="3">
                  <c:v>1230.5</c:v>
                </c:pt>
                <c:pt idx="4">
                  <c:v>1591.9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49-46AC-8B78-BCD577DCD0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092447056"/>
        <c:axId val="20924474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AER_IS!$C$14</c15:sqref>
                        </c15:formulaRef>
                      </c:ext>
                    </c:extLst>
                    <c:strCache>
                      <c:ptCount val="1"/>
                      <c:pt idx="0">
                        <c:v>Other 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AER_IS!$D$10:$H$10</c15:sqref>
                        </c15:formulaRef>
                      </c:ext>
                    </c:extLst>
                    <c:strCache>
                      <c:ptCount val="5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AER_IS!$D$14:$H$14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5"/>
                      <c:pt idx="0">
                        <c:v>61.6</c:v>
                      </c:pt>
                      <c:pt idx="1">
                        <c:v>66.2</c:v>
                      </c:pt>
                      <c:pt idx="2">
                        <c:v>83.004999999999995</c:v>
                      </c:pt>
                      <c:pt idx="3">
                        <c:v>722.57399999999996</c:v>
                      </c:pt>
                      <c:pt idx="4">
                        <c:v>254.07400000000001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D49-46AC-8B78-BCD577DCD0F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AER_IS!$D$10:$H$10</c15:sqref>
                        </c15:formulaRef>
                      </c:ext>
                    </c:extLst>
                    <c:strCache>
                      <c:ptCount val="5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AER_IS!$D$16:$H$16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D49-46AC-8B78-BCD577DCD0F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AER_IS!$C$18</c15:sqref>
                        </c15:formulaRef>
                      </c:ext>
                    </c:extLst>
                    <c:strCache>
                      <c:ptCount val="1"/>
                      <c:pt idx="0">
                        <c:v>Depreciation &amp; amortization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AER_IS!$D$10:$H$10</c15:sqref>
                        </c15:formulaRef>
                      </c:ext>
                    </c:extLst>
                    <c:strCache>
                      <c:ptCount val="5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AER_IS!$D$18:$H$18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5"/>
                      <c:pt idx="0">
                        <c:v>1679.1</c:v>
                      </c:pt>
                      <c:pt idx="1">
                        <c:v>1676.1</c:v>
                      </c:pt>
                      <c:pt idx="2">
                        <c:v>1645.4</c:v>
                      </c:pt>
                      <c:pt idx="3">
                        <c:v>1737.9</c:v>
                      </c:pt>
                      <c:pt idx="4">
                        <c:v>2389.8000000000002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D49-46AC-8B78-BCD577DCD0F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AER_IS!$C$19</c15:sqref>
                        </c15:formulaRef>
                      </c:ext>
                    </c:extLst>
                    <c:strCache>
                      <c:ptCount val="1"/>
                      <c:pt idx="0">
                        <c:v>Net charges related to Ukraine Conflict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AER_IS!$D$10:$H$10</c15:sqref>
                        </c15:formulaRef>
                      </c:ext>
                    </c:extLst>
                    <c:strCache>
                      <c:ptCount val="5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AER_IS!$D$19:$H$19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2665.7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D49-46AC-8B78-BCD577DCD0FD}"/>
                  </c:ext>
                </c:extLst>
              </c15:ser>
            </c15:filteredBarSeries>
          </c:ext>
        </c:extLst>
      </c:barChart>
      <c:catAx>
        <c:axId val="209244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92447472"/>
        <c:crosses val="autoZero"/>
        <c:auto val="1"/>
        <c:lblAlgn val="ctr"/>
        <c:lblOffset val="100"/>
        <c:noMultiLvlLbl val="0"/>
      </c:catAx>
      <c:valAx>
        <c:axId val="2092447472"/>
        <c:scaling>
          <c:orientation val="minMax"/>
          <c:max val="60000"/>
        </c:scaling>
        <c:delete val="0"/>
        <c:axPos val="l"/>
        <c:numFmt formatCode="_(* #,##0.0_);_(* \(#,##0.0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9244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AER_IS!$C$13</c:f>
              <c:strCache>
                <c:ptCount val="1"/>
                <c:pt idx="0">
                  <c:v>Gain (loss) on sale of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AER_IS!$D$10:$M$10</c:f>
              <c:strCache>
                <c:ptCount val="10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  <c:pt idx="5">
                  <c:v>2023E</c:v>
                </c:pt>
                <c:pt idx="6">
                  <c:v>2024E</c:v>
                </c:pt>
                <c:pt idx="7">
                  <c:v>2025E</c:v>
                </c:pt>
                <c:pt idx="8">
                  <c:v>2026E</c:v>
                </c:pt>
                <c:pt idx="9">
                  <c:v>2027E</c:v>
                </c:pt>
              </c:strCache>
            </c:strRef>
          </c:cat>
          <c:val>
            <c:numRef>
              <c:f>AER_IS!$D$13:$M$13</c:f>
              <c:numCache>
                <c:formatCode>_(* #,##0.0_);_(* \(#,##0.0\)_)\ ;_(* 0_)</c:formatCode>
                <c:ptCount val="10"/>
                <c:pt idx="0">
                  <c:v>201.3</c:v>
                </c:pt>
                <c:pt idx="1">
                  <c:v>188.8</c:v>
                </c:pt>
                <c:pt idx="2">
                  <c:v>89.6</c:v>
                </c:pt>
                <c:pt idx="3">
                  <c:v>89.4</c:v>
                </c:pt>
                <c:pt idx="4">
                  <c:v>228.9</c:v>
                </c:pt>
                <c:pt idx="5">
                  <c:v>575.34014999999999</c:v>
                </c:pt>
                <c:pt idx="6">
                  <c:v>570.04702062000001</c:v>
                </c:pt>
                <c:pt idx="7">
                  <c:v>456.03761649600006</c:v>
                </c:pt>
                <c:pt idx="8">
                  <c:v>364.83009319680008</c:v>
                </c:pt>
                <c:pt idx="9">
                  <c:v>291.86407455744006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9-4525-A688-C0C903C47230}"/>
            </c:ext>
          </c:extLst>
        </c:ser>
        <c:ser>
          <c:idx val="2"/>
          <c:order val="2"/>
          <c:tx>
            <c:strRef>
              <c:f>AER_IS!$C$15</c:f>
              <c:strCache>
                <c:ptCount val="1"/>
                <c:pt idx="0">
                  <c:v>  Total Revenues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AER_IS!$D$10:$M$10</c:f>
              <c:strCache>
                <c:ptCount val="10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  <c:pt idx="5">
                  <c:v>2023E</c:v>
                </c:pt>
                <c:pt idx="6">
                  <c:v>2024E</c:v>
                </c:pt>
                <c:pt idx="7">
                  <c:v>2025E</c:v>
                </c:pt>
                <c:pt idx="8">
                  <c:v>2026E</c:v>
                </c:pt>
                <c:pt idx="9">
                  <c:v>2027E</c:v>
                </c:pt>
              </c:strCache>
            </c:strRef>
          </c:cat>
          <c:val>
            <c:numRef>
              <c:f>AER_IS!$D$15:$M$15</c:f>
              <c:numCache>
                <c:formatCode>_(* #,##0.0_);_(* \(#,##0.0\)_)\ ;_(* 0_)</c:formatCode>
                <c:ptCount val="10"/>
                <c:pt idx="0">
                  <c:v>4800.0000000000009</c:v>
                </c:pt>
                <c:pt idx="1">
                  <c:v>4937.3</c:v>
                </c:pt>
                <c:pt idx="2">
                  <c:v>4493.6050000000005</c:v>
                </c:pt>
                <c:pt idx="3">
                  <c:v>5223.9739999999993</c:v>
                </c:pt>
                <c:pt idx="4">
                  <c:v>7013.4739999999993</c:v>
                </c:pt>
                <c:pt idx="5">
                  <c:v>8075.956577599999</c:v>
                </c:pt>
                <c:pt idx="6">
                  <c:v>8517.2878416226795</c:v>
                </c:pt>
                <c:pt idx="7">
                  <c:v>8776.3063965826805</c:v>
                </c:pt>
                <c:pt idx="8">
                  <c:v>9076.7782303216809</c:v>
                </c:pt>
                <c:pt idx="9">
                  <c:v>9415.0755365724308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9-4525-A688-C0C903C47230}"/>
            </c:ext>
          </c:extLst>
        </c:ser>
        <c:ser>
          <c:idx val="4"/>
          <c:order val="4"/>
          <c:tx>
            <c:strRef>
              <c:f>AER_IS!$C$17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AER_IS!$D$10:$M$10</c:f>
              <c:strCache>
                <c:ptCount val="10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  <c:pt idx="5">
                  <c:v>2023E</c:v>
                </c:pt>
                <c:pt idx="6">
                  <c:v>2024E</c:v>
                </c:pt>
                <c:pt idx="7">
                  <c:v>2025E</c:v>
                </c:pt>
                <c:pt idx="8">
                  <c:v>2026E</c:v>
                </c:pt>
                <c:pt idx="9">
                  <c:v>2027E</c:v>
                </c:pt>
              </c:strCache>
            </c:strRef>
          </c:cat>
          <c:val>
            <c:numRef>
              <c:f>AER_IS!$D$17:$M$17</c:f>
              <c:numCache>
                <c:formatCode>_(* #,##0.0_);_(* \(#,##0.0\)_)\ ;_(* 0_)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629-4525-A688-C0C903C47230}"/>
            </c:ext>
          </c:extLst>
        </c:ser>
        <c:ser>
          <c:idx val="7"/>
          <c:order val="7"/>
          <c:tx>
            <c:strRef>
              <c:f>AER_IS!$C$21</c:f>
              <c:strCache>
                <c:ptCount val="1"/>
                <c:pt idx="0">
                  <c:v>Interest expense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AER_IS!$D$10:$M$10</c:f>
              <c:strCache>
                <c:ptCount val="10"/>
                <c:pt idx="0">
                  <c:v>2018A</c:v>
                </c:pt>
                <c:pt idx="1">
                  <c:v>2019A</c:v>
                </c:pt>
                <c:pt idx="2">
                  <c:v>2020A</c:v>
                </c:pt>
                <c:pt idx="3">
                  <c:v>2021A</c:v>
                </c:pt>
                <c:pt idx="4">
                  <c:v>2022A</c:v>
                </c:pt>
                <c:pt idx="5">
                  <c:v>2023E</c:v>
                </c:pt>
                <c:pt idx="6">
                  <c:v>2024E</c:v>
                </c:pt>
                <c:pt idx="7">
                  <c:v>2025E</c:v>
                </c:pt>
                <c:pt idx="8">
                  <c:v>2026E</c:v>
                </c:pt>
                <c:pt idx="9">
                  <c:v>2027E</c:v>
                </c:pt>
              </c:strCache>
            </c:strRef>
          </c:cat>
          <c:val>
            <c:numRef>
              <c:f>AER_IS!$D$21:$M$21</c:f>
              <c:numCache>
                <c:formatCode>_(* #,##0.0_);_(* \(#,##0.0\)_)\ ;_(* 0_)</c:formatCode>
                <c:ptCount val="10"/>
                <c:pt idx="0">
                  <c:v>1174.0999999999999</c:v>
                </c:pt>
                <c:pt idx="1">
                  <c:v>1295</c:v>
                </c:pt>
                <c:pt idx="2">
                  <c:v>1248.2</c:v>
                </c:pt>
                <c:pt idx="3">
                  <c:v>1230.5</c:v>
                </c:pt>
                <c:pt idx="4">
                  <c:v>1591.9</c:v>
                </c:pt>
                <c:pt idx="5">
                  <c:v>1962.2343949999995</c:v>
                </c:pt>
                <c:pt idx="6">
                  <c:v>2156.0483749999994</c:v>
                </c:pt>
                <c:pt idx="7">
                  <c:v>2098.6190849999994</c:v>
                </c:pt>
                <c:pt idx="8">
                  <c:v>2031.8989249999995</c:v>
                </c:pt>
                <c:pt idx="9">
                  <c:v>2005.3360749999997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9-4525-A688-C0C903C472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092447056"/>
        <c:axId val="20924474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AER_IS!$C$14</c15:sqref>
                        </c15:formulaRef>
                      </c:ext>
                    </c:extLst>
                    <c:strCache>
                      <c:ptCount val="1"/>
                      <c:pt idx="0">
                        <c:v>Other 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AER_IS!$D$10:$M$10</c15:sqref>
                        </c15:formulaRef>
                      </c:ext>
                    </c:extLst>
                    <c:strCache>
                      <c:ptCount val="10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  <c:pt idx="5">
                        <c:v>2023E</c:v>
                      </c:pt>
                      <c:pt idx="6">
                        <c:v>2024E</c:v>
                      </c:pt>
                      <c:pt idx="7">
                        <c:v>2025E</c:v>
                      </c:pt>
                      <c:pt idx="8">
                        <c:v>2026E</c:v>
                      </c:pt>
                      <c:pt idx="9">
                        <c:v>2027E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AER_IS!$D$14:$M$14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10"/>
                      <c:pt idx="0">
                        <c:v>61.6</c:v>
                      </c:pt>
                      <c:pt idx="1">
                        <c:v>66.2</c:v>
                      </c:pt>
                      <c:pt idx="2">
                        <c:v>83.004999999999995</c:v>
                      </c:pt>
                      <c:pt idx="3">
                        <c:v>722.57399999999996</c:v>
                      </c:pt>
                      <c:pt idx="4">
                        <c:v>254.07400000000001</c:v>
                      </c:pt>
                      <c:pt idx="5">
                        <c:v>489.47162759999998</c:v>
                      </c:pt>
                      <c:pt idx="6">
                        <c:v>486.68163932267998</c:v>
                      </c:pt>
                      <c:pt idx="7">
                        <c:v>486.68163932267998</c:v>
                      </c:pt>
                      <c:pt idx="8">
                        <c:v>486.68163932267998</c:v>
                      </c:pt>
                      <c:pt idx="9">
                        <c:v>486.68163932267998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629-4525-A688-C0C903C4723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AER_IS!$D$10:$M$10</c15:sqref>
                        </c15:formulaRef>
                      </c:ext>
                    </c:extLst>
                    <c:strCache>
                      <c:ptCount val="10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  <c:pt idx="5">
                        <c:v>2023E</c:v>
                      </c:pt>
                      <c:pt idx="6">
                        <c:v>2024E</c:v>
                      </c:pt>
                      <c:pt idx="7">
                        <c:v>2025E</c:v>
                      </c:pt>
                      <c:pt idx="8">
                        <c:v>2026E</c:v>
                      </c:pt>
                      <c:pt idx="9">
                        <c:v>2027E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AER_IS!$D$16:$M$16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29-4525-A688-C0C903C4723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AER_IS!$C$18</c15:sqref>
                        </c15:formulaRef>
                      </c:ext>
                    </c:extLst>
                    <c:strCache>
                      <c:ptCount val="1"/>
                      <c:pt idx="0">
                        <c:v>Depreciation &amp; amortization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AER_IS!$D$10:$M$10</c15:sqref>
                        </c15:formulaRef>
                      </c:ext>
                    </c:extLst>
                    <c:strCache>
                      <c:ptCount val="10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  <c:pt idx="5">
                        <c:v>2023E</c:v>
                      </c:pt>
                      <c:pt idx="6">
                        <c:v>2024E</c:v>
                      </c:pt>
                      <c:pt idx="7">
                        <c:v>2025E</c:v>
                      </c:pt>
                      <c:pt idx="8">
                        <c:v>2026E</c:v>
                      </c:pt>
                      <c:pt idx="9">
                        <c:v>2027E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AER_IS!$D$18:$M$18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10"/>
                      <c:pt idx="0">
                        <c:v>1679.1</c:v>
                      </c:pt>
                      <c:pt idx="1">
                        <c:v>1676.1</c:v>
                      </c:pt>
                      <c:pt idx="2">
                        <c:v>1645.4</c:v>
                      </c:pt>
                      <c:pt idx="3">
                        <c:v>1737.9</c:v>
                      </c:pt>
                      <c:pt idx="4">
                        <c:v>2389.8000000000002</c:v>
                      </c:pt>
                      <c:pt idx="5">
                        <c:v>2456.9533800000004</c:v>
                      </c:pt>
                      <c:pt idx="6">
                        <c:v>2635.3281953880005</c:v>
                      </c:pt>
                      <c:pt idx="7">
                        <c:v>2767.0946051574006</c:v>
                      </c:pt>
                      <c:pt idx="8">
                        <c:v>2905.4493354152705</c:v>
                      </c:pt>
                      <c:pt idx="9">
                        <c:v>3050.721802186034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629-4525-A688-C0C903C4723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AER_IS!$C$19</c15:sqref>
                        </c15:formulaRef>
                      </c:ext>
                    </c:extLst>
                    <c:strCache>
                      <c:ptCount val="1"/>
                      <c:pt idx="0">
                        <c:v>Net charges related to Ukraine Conflict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AER_IS!$D$10:$M$10</c15:sqref>
                        </c15:formulaRef>
                      </c:ext>
                    </c:extLst>
                    <c:strCache>
                      <c:ptCount val="10"/>
                      <c:pt idx="0">
                        <c:v>2018A</c:v>
                      </c:pt>
                      <c:pt idx="1">
                        <c:v>2019A</c:v>
                      </c:pt>
                      <c:pt idx="2">
                        <c:v>2020A</c:v>
                      </c:pt>
                      <c:pt idx="3">
                        <c:v>2021A</c:v>
                      </c:pt>
                      <c:pt idx="4">
                        <c:v>2022A</c:v>
                      </c:pt>
                      <c:pt idx="5">
                        <c:v>2023E</c:v>
                      </c:pt>
                      <c:pt idx="6">
                        <c:v>2024E</c:v>
                      </c:pt>
                      <c:pt idx="7">
                        <c:v>2025E</c:v>
                      </c:pt>
                      <c:pt idx="8">
                        <c:v>2026E</c:v>
                      </c:pt>
                      <c:pt idx="9">
                        <c:v>2027E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AER_IS!$D$19:$M$19</c15:sqref>
                        </c15:formulaRef>
                      </c:ext>
                    </c:extLst>
                    <c:numCache>
                      <c:formatCode>_(* #,##0.0_);_(* \(#,##0.0\)_)\ ;_(* 0_)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2665.7</c:v>
                      </c:pt>
                      <c:pt idx="5">
                        <c:v>-645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629-4525-A688-C0C903C47230}"/>
                  </c:ext>
                </c:extLst>
              </c15:ser>
            </c15:filteredBarSeries>
          </c:ext>
        </c:extLst>
      </c:barChart>
      <c:catAx>
        <c:axId val="209244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92447472"/>
        <c:crosses val="autoZero"/>
        <c:auto val="1"/>
        <c:lblAlgn val="ctr"/>
        <c:lblOffset val="100"/>
        <c:noMultiLvlLbl val="0"/>
      </c:catAx>
      <c:valAx>
        <c:axId val="2092447472"/>
        <c:scaling>
          <c:orientation val="minMax"/>
          <c:max val="80000"/>
        </c:scaling>
        <c:delete val="0"/>
        <c:axPos val="l"/>
        <c:numFmt formatCode="_(* #,##0.0_);_(* \(#,##0.0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9244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AER_IS!$K$60</c:f>
              <c:strCache>
                <c:ptCount val="1"/>
                <c:pt idx="0">
                  <c:v>DMED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AER_IS!$L$60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AER_IS!$L$58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62-4687-8BE1-F367C77681EA}"/>
            </c:ext>
          </c:extLst>
        </c:ser>
        <c:ser>
          <c:idx val="1"/>
          <c:order val="1"/>
          <c:tx>
            <c:strRef>
              <c:f>AER_IS!$K$59</c:f>
              <c:strCache>
                <c:ptCount val="1"/>
                <c:pt idx="0">
                  <c:v>DPEP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AER_IS!$L$59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AER_IS!$L$58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362-4687-8BE1-F367C77681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8740064"/>
        <c:axId val="648744640"/>
      </c:barChart>
      <c:catAx>
        <c:axId val="648740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744640"/>
        <c:crosses val="autoZero"/>
        <c:auto val="1"/>
        <c:lblAlgn val="ctr"/>
        <c:lblOffset val="100"/>
        <c:noMultiLvlLbl val="0"/>
      </c:catAx>
      <c:valAx>
        <c:axId val="648744640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64874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93888888888888888"/>
          <c:h val="0.5815496500437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AER_IS!$P$60</c:f>
              <c:strCache>
                <c:ptCount val="1"/>
                <c:pt idx="0">
                  <c:v>Theme Park Admissions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AER_IS!$Q$60:$S$60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AB1-40E0-9DBF-8811B4A8E921}"/>
            </c:ext>
          </c:extLst>
        </c:ser>
        <c:ser>
          <c:idx val="1"/>
          <c:order val="1"/>
          <c:tx>
            <c:strRef>
              <c:f>AER_IS!$P$61</c:f>
              <c:strCache>
                <c:ptCount val="1"/>
                <c:pt idx="0">
                  <c:v>Parks &amp; Experience, Merch, Food and 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AER_IS!$Q$61:$S$61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AB1-40E0-9DBF-8811B4A8E921}"/>
            </c:ext>
          </c:extLst>
        </c:ser>
        <c:ser>
          <c:idx val="2"/>
          <c:order val="2"/>
          <c:tx>
            <c:strRef>
              <c:f>AER_IS!$P$62</c:f>
              <c:strCache>
                <c:ptCount val="1"/>
                <c:pt idx="0">
                  <c:v>Resorts and Vacation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AER_IS!$Q$62:$S$62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AB1-40E0-9DBF-8811B4A8E921}"/>
            </c:ext>
          </c:extLst>
        </c:ser>
        <c:ser>
          <c:idx val="3"/>
          <c:order val="3"/>
          <c:tx>
            <c:strRef>
              <c:f>AER_IS!$P$63</c:f>
              <c:strCache>
                <c:ptCount val="1"/>
                <c:pt idx="0">
                  <c:v>Merchandise Licensing &amp; Retail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AER_IS!$Q$63:$S$63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AB1-40E0-9DBF-8811B4A8E921}"/>
            </c:ext>
          </c:extLst>
        </c:ser>
        <c:ser>
          <c:idx val="4"/>
          <c:order val="4"/>
          <c:tx>
            <c:strRef>
              <c:f>AER_IS!$P$64</c:f>
              <c:strCache>
                <c:ptCount val="1"/>
                <c:pt idx="0">
                  <c:v>Parks Licensing and 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AER_IS!$Q$64:$S$64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AB1-40E0-9DBF-8811B4A8E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8119360"/>
        <c:axId val="1208115616"/>
      </c:barChart>
      <c:catAx>
        <c:axId val="12081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208115616"/>
        <c:crosses val="autoZero"/>
        <c:auto val="1"/>
        <c:lblAlgn val="ctr"/>
        <c:lblOffset val="100"/>
        <c:noMultiLvlLbl val="0"/>
      </c:catAx>
      <c:valAx>
        <c:axId val="1208115616"/>
        <c:scaling>
          <c:orientation val="minMax"/>
        </c:scaling>
        <c:delete val="1"/>
        <c:axPos val="l"/>
        <c:numFmt formatCode="_(* #,##0_);_(* \(#,##0\)_)\ ;_(* 0_)" sourceLinked="1"/>
        <c:majorTickMark val="none"/>
        <c:minorTickMark val="none"/>
        <c:tickLblPos val="nextTo"/>
        <c:crossAx val="120811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48687664041992E-2"/>
          <c:y val="0.74913422280548259"/>
          <c:w val="0.87294685039370079"/>
          <c:h val="0.223087999416739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AER_IS!$P$60</c:f>
              <c:strCache>
                <c:ptCount val="1"/>
                <c:pt idx="0">
                  <c:v>Theme Park Admissions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AER_IS!$Q$60:$S$60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AER_IS!$Q$59:$S$59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47-4CA2-8EBF-C72B5E8D6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8113120"/>
        <c:axId val="1208116448"/>
      </c:barChart>
      <c:catAx>
        <c:axId val="12081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208116448"/>
        <c:crosses val="autoZero"/>
        <c:auto val="1"/>
        <c:lblAlgn val="ctr"/>
        <c:lblOffset val="100"/>
        <c:noMultiLvlLbl val="0"/>
      </c:catAx>
      <c:valAx>
        <c:axId val="1208116448"/>
        <c:scaling>
          <c:orientation val="minMax"/>
        </c:scaling>
        <c:delete val="1"/>
        <c:axPos val="l"/>
        <c:numFmt formatCode="_(* #,##0_);_(* \(#,##0\)_)\ ;_(* 0_)" sourceLinked="1"/>
        <c:majorTickMark val="none"/>
        <c:minorTickMark val="none"/>
        <c:tickLblPos val="nextTo"/>
        <c:crossAx val="120811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7600897713874E-2"/>
          <c:y val="7.5407046915382178E-2"/>
          <c:w val="0.89058389440450381"/>
          <c:h val="0.64302725017434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AER_IS!$V$61</c:f>
              <c:strCache>
                <c:ptCount val="1"/>
                <c:pt idx="0">
                  <c:v>Disney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AER_IS!$W$61:$Y$61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AER_IS!$W$60:$Y$60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A9-43F2-A6BD-D38E11B8AE91}"/>
            </c:ext>
          </c:extLst>
        </c:ser>
        <c:ser>
          <c:idx val="1"/>
          <c:order val="1"/>
          <c:tx>
            <c:strRef>
              <c:f>AER_IS!$V$62</c:f>
              <c:strCache>
                <c:ptCount val="1"/>
                <c:pt idx="0">
                  <c:v>Comcast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AER_IS!$W$62:$Y$62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AER_IS!$W$60:$Y$60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2A9-43F2-A6BD-D38E11B8AE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8541488"/>
        <c:axId val="798541904"/>
      </c:barChart>
      <c:catAx>
        <c:axId val="7985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98541904"/>
        <c:crosses val="autoZero"/>
        <c:auto val="1"/>
        <c:lblAlgn val="ctr"/>
        <c:lblOffset val="100"/>
        <c:noMultiLvlLbl val="0"/>
      </c:catAx>
      <c:valAx>
        <c:axId val="798541904"/>
        <c:scaling>
          <c:orientation val="minMax"/>
        </c:scaling>
        <c:delete val="1"/>
        <c:axPos val="l"/>
        <c:numFmt formatCode="_(* #,##0_);_(* \(#,##0\)_)\ ;_(* 0_)" sourceLinked="1"/>
        <c:majorTickMark val="none"/>
        <c:minorTickMark val="none"/>
        <c:tickLblPos val="nextTo"/>
        <c:crossAx val="7985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10586</xdr:colOff>
      <xdr:row>0</xdr:row>
      <xdr:rowOff>0</xdr:rowOff>
    </xdr:from>
    <xdr:to>
      <xdr:col>14</xdr:col>
      <xdr:colOff>1</xdr:colOff>
      <xdr:row>10</xdr:row>
      <xdr:rowOff>9182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8061ADA-0B6B-D7D0-E89A-D3F4C0BA5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132669" y="0"/>
          <a:ext cx="6678082" cy="1808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73</xdr:row>
      <xdr:rowOff>185737</xdr:rowOff>
    </xdr:from>
    <xdr:to>
      <xdr:col>4</xdr:col>
      <xdr:colOff>400050</xdr:colOff>
      <xdr:row>88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A7D3FB-9182-4BFD-B763-32449708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74</xdr:row>
      <xdr:rowOff>152400</xdr:rowOff>
    </xdr:from>
    <xdr:to>
      <xdr:col>11</xdr:col>
      <xdr:colOff>104775</xdr:colOff>
      <xdr:row>89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193A1B-ED62-47D1-B8CE-06643151F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538162</xdr:colOff>
      <xdr:row>60</xdr:row>
      <xdr:rowOff>66674</xdr:rowOff>
    </xdr:from>
    <xdr:to>
      <xdr:col>13</xdr:col>
      <xdr:colOff>400050</xdr:colOff>
      <xdr:row>64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234A6A-DDC8-4F8F-BC92-C2E6989E8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966787</xdr:colOff>
      <xdr:row>73</xdr:row>
      <xdr:rowOff>71437</xdr:rowOff>
    </xdr:from>
    <xdr:to>
      <xdr:col>18</xdr:col>
      <xdr:colOff>428625</xdr:colOff>
      <xdr:row>81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FDC82D-D17D-46CB-8CEA-DC7F4D564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1023937</xdr:colOff>
      <xdr:row>65</xdr:row>
      <xdr:rowOff>71437</xdr:rowOff>
    </xdr:from>
    <xdr:to>
      <xdr:col>18</xdr:col>
      <xdr:colOff>400050</xdr:colOff>
      <xdr:row>72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A16964-6AF8-4EB2-A1A3-8B347E6AB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180975</xdr:colOff>
      <xdr:row>64</xdr:row>
      <xdr:rowOff>76200</xdr:rowOff>
    </xdr:from>
    <xdr:to>
      <xdr:col>25</xdr:col>
      <xdr:colOff>371475</xdr:colOff>
      <xdr:row>74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1BA3B4-F3DE-48A3-A0A8-4DAEFA03A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FABE-831A-4183-B59F-C01BB9CE499D}">
  <dimension ref="F10:V25"/>
  <sheetViews>
    <sheetView showGridLines="0" topLeftCell="D1" zoomScale="90" zoomScaleNormal="90" workbookViewId="0">
      <selection activeCell="Q18" sqref="Q18"/>
    </sheetView>
  </sheetViews>
  <sheetFormatPr defaultColWidth="8.7109375" defaultRowHeight="15" x14ac:dyDescent="0.25"/>
  <cols>
    <col min="1" max="7" width="8.7109375" style="127"/>
    <col min="8" max="8" width="23.7109375" style="127" bestFit="1" customWidth="1"/>
    <col min="9" max="15" width="8.7109375" style="127"/>
    <col min="16" max="16" width="25.5703125" style="127" customWidth="1"/>
    <col min="17" max="17" width="12" style="127" customWidth="1"/>
    <col min="18" max="19" width="8.7109375" style="127"/>
    <col min="20" max="20" width="23.28515625" style="127" bestFit="1" customWidth="1"/>
    <col min="21" max="16384" width="8.7109375" style="127"/>
  </cols>
  <sheetData>
    <row r="10" spans="6:22" x14ac:dyDescent="0.25">
      <c r="P10" s="126"/>
      <c r="Q10" s="126"/>
      <c r="R10" s="126"/>
      <c r="S10" s="126"/>
      <c r="T10" s="126"/>
      <c r="U10" s="126"/>
      <c r="V10" s="126"/>
    </row>
    <row r="11" spans="6:22" ht="21" x14ac:dyDescent="0.35">
      <c r="F11" s="324" t="s">
        <v>129</v>
      </c>
      <c r="G11" s="324"/>
      <c r="H11" s="324"/>
      <c r="I11" s="324"/>
      <c r="J11" s="324"/>
      <c r="K11" s="324"/>
      <c r="L11" s="324"/>
      <c r="M11" s="324"/>
      <c r="N11" s="324"/>
      <c r="P11" s="27" t="s">
        <v>132</v>
      </c>
      <c r="Q11" s="28"/>
      <c r="R11" s="28"/>
      <c r="S11" s="28"/>
      <c r="T11" s="28"/>
      <c r="U11" s="28"/>
      <c r="V11" s="128"/>
    </row>
    <row r="12" spans="6:22" ht="21" x14ac:dyDescent="0.35">
      <c r="F12" s="324" t="s">
        <v>130</v>
      </c>
      <c r="G12" s="324"/>
      <c r="H12" s="324"/>
      <c r="I12" s="324"/>
      <c r="J12" s="324"/>
      <c r="K12" s="324"/>
      <c r="L12" s="324"/>
      <c r="M12" s="324"/>
      <c r="N12" s="324"/>
      <c r="P12" s="29" t="s">
        <v>130</v>
      </c>
      <c r="Q12" s="28"/>
      <c r="R12" s="28"/>
      <c r="S12" s="28"/>
      <c r="T12" s="28"/>
      <c r="U12" s="28"/>
      <c r="V12" s="128"/>
    </row>
    <row r="13" spans="6:22" ht="21" x14ac:dyDescent="0.35">
      <c r="F13" s="325" t="s">
        <v>131</v>
      </c>
      <c r="G13" s="325"/>
      <c r="H13" s="325"/>
      <c r="I13" s="325"/>
      <c r="J13" s="325"/>
      <c r="K13" s="325"/>
      <c r="L13" s="325"/>
      <c r="M13" s="325"/>
      <c r="N13" s="325"/>
      <c r="P13" s="129"/>
      <c r="Q13" s="129"/>
      <c r="R13" s="129"/>
      <c r="S13" s="129"/>
      <c r="T13" s="129"/>
      <c r="U13" s="129"/>
      <c r="V13" s="119"/>
    </row>
    <row r="14" spans="6:22" ht="21" x14ac:dyDescent="0.35">
      <c r="F14" s="326" t="s">
        <v>127</v>
      </c>
      <c r="G14" s="326"/>
      <c r="H14" s="326"/>
      <c r="I14" s="326"/>
      <c r="J14" s="326"/>
      <c r="K14" s="326"/>
      <c r="L14" s="326"/>
      <c r="M14" s="326"/>
      <c r="N14" s="326"/>
      <c r="P14" s="129" t="s">
        <v>98</v>
      </c>
      <c r="Q14" s="130">
        <f ca="1">TODAY()</f>
        <v>45222</v>
      </c>
      <c r="R14" s="129"/>
      <c r="S14" s="129"/>
      <c r="T14" s="131" t="s">
        <v>99</v>
      </c>
      <c r="U14" s="129"/>
      <c r="V14" s="119"/>
    </row>
    <row r="15" spans="6:22" ht="21" x14ac:dyDescent="0.35">
      <c r="F15" s="326" t="s">
        <v>336</v>
      </c>
      <c r="G15" s="326"/>
      <c r="H15" s="326"/>
      <c r="I15" s="326"/>
      <c r="J15" s="326"/>
      <c r="K15" s="326"/>
      <c r="L15" s="326"/>
      <c r="M15" s="326"/>
      <c r="N15" s="326"/>
      <c r="P15" s="129" t="s">
        <v>100</v>
      </c>
      <c r="Q15" s="132">
        <v>58.54</v>
      </c>
      <c r="R15" s="129"/>
      <c r="S15" s="129"/>
      <c r="T15" s="129" t="s">
        <v>101</v>
      </c>
      <c r="U15" s="133">
        <f ca="1">AER_DCF!M24</f>
        <v>91.693726236073431</v>
      </c>
      <c r="V15" s="119"/>
    </row>
    <row r="16" spans="6:22" x14ac:dyDescent="0.25">
      <c r="P16" s="129"/>
      <c r="Q16" s="322"/>
      <c r="R16" s="129"/>
      <c r="S16" s="129"/>
      <c r="T16" s="129" t="s">
        <v>326</v>
      </c>
      <c r="U16" s="134">
        <f ca="1">AER_DCF!M29</f>
        <v>66.462953896821276</v>
      </c>
      <c r="V16" s="119"/>
    </row>
    <row r="17" spans="6:22" x14ac:dyDescent="0.25">
      <c r="P17" s="129" t="s">
        <v>102</v>
      </c>
      <c r="Q17" s="303">
        <v>1</v>
      </c>
      <c r="R17" s="135" t="str">
        <f ca="1">+OFFSET(R17,$Q$17,)</f>
        <v>Base</v>
      </c>
      <c r="S17" s="129"/>
      <c r="T17" s="131" t="s">
        <v>103</v>
      </c>
      <c r="U17" s="136">
        <f ca="1">AER_DCF!M30</f>
        <v>79.078340066447353</v>
      </c>
      <c r="V17" s="119"/>
    </row>
    <row r="18" spans="6:22" x14ac:dyDescent="0.25">
      <c r="P18" s="129"/>
      <c r="Q18" s="129">
        <v>1</v>
      </c>
      <c r="R18" s="129" t="s">
        <v>104</v>
      </c>
      <c r="S18" s="129"/>
      <c r="T18" s="129" t="s">
        <v>105</v>
      </c>
      <c r="U18" s="137">
        <f ca="1">U17/Q15-1</f>
        <v>0.3508428436359301</v>
      </c>
      <c r="V18" s="119"/>
    </row>
    <row r="19" spans="6:22" x14ac:dyDescent="0.25">
      <c r="P19" s="129"/>
      <c r="Q19" s="129">
        <v>2</v>
      </c>
      <c r="R19" s="129" t="s">
        <v>106</v>
      </c>
      <c r="S19" s="129"/>
      <c r="T19" s="129"/>
      <c r="U19" s="129"/>
      <c r="V19" s="119"/>
    </row>
    <row r="20" spans="6:22" x14ac:dyDescent="0.25">
      <c r="P20" s="129"/>
      <c r="Q20" s="129">
        <v>3</v>
      </c>
      <c r="R20" s="129" t="s">
        <v>107</v>
      </c>
      <c r="S20" s="129"/>
      <c r="T20" s="129"/>
      <c r="U20" s="129"/>
      <c r="V20" s="119"/>
    </row>
    <row r="21" spans="6:22" ht="21" x14ac:dyDescent="0.35">
      <c r="F21" s="327"/>
      <c r="G21" s="327"/>
      <c r="H21" s="327"/>
      <c r="I21" s="327"/>
      <c r="J21" s="327"/>
      <c r="K21" s="327"/>
      <c r="L21" s="327"/>
      <c r="M21" s="327"/>
      <c r="N21" s="327"/>
    </row>
    <row r="22" spans="6:22" ht="21" x14ac:dyDescent="0.35">
      <c r="F22" s="327"/>
      <c r="G22" s="327"/>
      <c r="H22" s="327"/>
      <c r="I22" s="327"/>
      <c r="J22" s="327"/>
      <c r="K22" s="327"/>
      <c r="L22" s="327"/>
      <c r="M22" s="327"/>
      <c r="N22" s="327"/>
    </row>
    <row r="23" spans="6:22" ht="21" x14ac:dyDescent="0.35">
      <c r="F23" s="328"/>
      <c r="G23" s="328"/>
      <c r="H23" s="328"/>
      <c r="I23" s="328"/>
      <c r="J23" s="328"/>
      <c r="K23" s="328"/>
      <c r="L23" s="328"/>
      <c r="M23" s="328"/>
      <c r="N23" s="328"/>
    </row>
    <row r="24" spans="6:22" ht="21" x14ac:dyDescent="0.35">
      <c r="F24" s="329"/>
      <c r="G24" s="329"/>
      <c r="H24" s="329"/>
      <c r="I24" s="329"/>
      <c r="J24" s="329"/>
      <c r="K24" s="329"/>
      <c r="L24" s="329"/>
      <c r="M24" s="329"/>
      <c r="N24" s="329"/>
    </row>
    <row r="25" spans="6:22" ht="21" x14ac:dyDescent="0.35">
      <c r="F25" s="329"/>
      <c r="G25" s="329"/>
      <c r="H25" s="329"/>
      <c r="I25" s="329"/>
      <c r="J25" s="329"/>
      <c r="K25" s="329"/>
      <c r="L25" s="329"/>
      <c r="M25" s="329"/>
      <c r="N25" s="329"/>
    </row>
  </sheetData>
  <mergeCells count="10">
    <mergeCell ref="F21:N21"/>
    <mergeCell ref="F22:N22"/>
    <mergeCell ref="F23:N23"/>
    <mergeCell ref="F24:N24"/>
    <mergeCell ref="F25:N25"/>
    <mergeCell ref="F11:N11"/>
    <mergeCell ref="F12:N12"/>
    <mergeCell ref="F13:N13"/>
    <mergeCell ref="F14:N14"/>
    <mergeCell ref="F15:N1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8F3B-21CF-4220-B63E-C7363432BEAC}">
  <dimension ref="A2:O116"/>
  <sheetViews>
    <sheetView showGridLines="0" zoomScale="60" zoomScaleNormal="60" workbookViewId="0">
      <pane ySplit="6" topLeftCell="A7" activePane="bottomLeft" state="frozen"/>
      <selection pane="bottomLeft" activeCell="B2" sqref="B2:H6"/>
    </sheetView>
  </sheetViews>
  <sheetFormatPr defaultRowHeight="15.75" x14ac:dyDescent="0.25"/>
  <cols>
    <col min="1" max="1" width="9.140625" style="152"/>
    <col min="2" max="2" width="35.28515625" style="152" customWidth="1"/>
    <col min="3" max="8" width="18.28515625" style="152" customWidth="1"/>
    <col min="9" max="16384" width="9.140625" style="152"/>
  </cols>
  <sheetData>
    <row r="2" spans="2:15" x14ac:dyDescent="0.25">
      <c r="B2" s="170" t="s">
        <v>233</v>
      </c>
      <c r="C2" s="170"/>
      <c r="D2" s="171"/>
      <c r="E2" s="171"/>
      <c r="F2" s="171"/>
      <c r="G2" s="171"/>
      <c r="H2" s="171"/>
    </row>
    <row r="3" spans="2:15" x14ac:dyDescent="0.25">
      <c r="B3" s="172" t="s">
        <v>242</v>
      </c>
      <c r="C3" s="172"/>
      <c r="D3" s="172"/>
      <c r="E3" s="172"/>
      <c r="F3" s="172"/>
      <c r="G3" s="172"/>
      <c r="H3" s="172"/>
    </row>
    <row r="4" spans="2:15" x14ac:dyDescent="0.25">
      <c r="B4" s="171"/>
      <c r="C4" s="173">
        <v>44926</v>
      </c>
      <c r="D4" s="173">
        <v>45291</v>
      </c>
      <c r="E4" s="173">
        <v>45657</v>
      </c>
      <c r="F4" s="173">
        <v>46022</v>
      </c>
      <c r="G4" s="173">
        <v>46387</v>
      </c>
      <c r="H4" s="173">
        <v>46752</v>
      </c>
    </row>
    <row r="5" spans="2:15" x14ac:dyDescent="0.25">
      <c r="B5" s="174" t="s">
        <v>243</v>
      </c>
      <c r="C5" s="174"/>
      <c r="D5" s="175"/>
      <c r="E5" s="175"/>
      <c r="F5" s="175"/>
      <c r="G5" s="175"/>
      <c r="H5" s="175"/>
    </row>
    <row r="6" spans="2:15" x14ac:dyDescent="0.25">
      <c r="B6" s="189"/>
      <c r="C6" s="189"/>
      <c r="D6" s="190"/>
      <c r="E6" s="190"/>
      <c r="F6" s="190"/>
      <c r="G6" s="190"/>
      <c r="H6" s="190"/>
    </row>
    <row r="7" spans="2:15" x14ac:dyDescent="0.25">
      <c r="B7" s="188" t="s">
        <v>265</v>
      </c>
      <c r="C7" s="188"/>
      <c r="D7" s="352"/>
      <c r="E7" s="352"/>
      <c r="F7" s="352"/>
      <c r="G7" s="352"/>
      <c r="H7" s="352"/>
    </row>
    <row r="8" spans="2:15" x14ac:dyDescent="0.25">
      <c r="B8" s="191" t="s">
        <v>267</v>
      </c>
      <c r="C8" s="353"/>
      <c r="D8" s="354"/>
      <c r="E8" s="354"/>
      <c r="F8" s="354"/>
      <c r="G8" s="354"/>
      <c r="H8" s="354"/>
      <c r="I8" s="196"/>
      <c r="J8" s="196"/>
      <c r="K8" s="196"/>
      <c r="L8" s="196"/>
      <c r="M8" s="196"/>
      <c r="N8" s="196"/>
      <c r="O8" s="196"/>
    </row>
    <row r="9" spans="2:15" x14ac:dyDescent="0.25">
      <c r="B9" s="176" t="s">
        <v>262</v>
      </c>
      <c r="C9" s="355"/>
      <c r="D9" s="225">
        <v>4266</v>
      </c>
      <c r="E9" s="225">
        <f ca="1">D12</f>
        <v>3839.3999999999996</v>
      </c>
      <c r="F9" s="225">
        <f t="shared" ref="F9:H9" ca="1" si="0">E12</f>
        <v>3839.3999999999996</v>
      </c>
      <c r="G9" s="225">
        <f t="shared" ca="1" si="0"/>
        <v>3839.3999999999996</v>
      </c>
      <c r="H9" s="225">
        <f t="shared" ca="1" si="0"/>
        <v>3839.3999999999996</v>
      </c>
      <c r="I9" s="196"/>
      <c r="J9" s="196"/>
      <c r="K9" s="196"/>
      <c r="L9" s="196"/>
      <c r="M9" s="196"/>
      <c r="N9" s="196"/>
      <c r="O9" s="196"/>
    </row>
    <row r="10" spans="2:15" x14ac:dyDescent="0.25">
      <c r="B10" s="201" t="s">
        <v>263</v>
      </c>
      <c r="C10" s="356"/>
      <c r="D10" s="222">
        <f ca="1">-D11*AER_Assumptions!H$136</f>
        <v>3839.4</v>
      </c>
      <c r="E10" s="222"/>
      <c r="F10" s="222"/>
      <c r="G10" s="222"/>
      <c r="H10" s="222"/>
      <c r="I10" s="196"/>
      <c r="J10" s="196"/>
      <c r="K10" s="196"/>
      <c r="L10" s="196"/>
      <c r="M10" s="196"/>
      <c r="N10" s="196"/>
      <c r="O10" s="196"/>
    </row>
    <row r="11" spans="2:15" x14ac:dyDescent="0.25">
      <c r="B11" s="201" t="s">
        <v>264</v>
      </c>
      <c r="C11" s="356"/>
      <c r="D11" s="357">
        <v>-4266</v>
      </c>
      <c r="E11" s="357"/>
      <c r="F11" s="357"/>
      <c r="G11" s="357"/>
      <c r="H11" s="357"/>
      <c r="I11" s="196"/>
      <c r="J11" s="196"/>
      <c r="K11" s="196"/>
      <c r="L11" s="196"/>
      <c r="M11" s="196"/>
      <c r="N11" s="196"/>
      <c r="O11" s="196"/>
    </row>
    <row r="12" spans="2:15" x14ac:dyDescent="0.25">
      <c r="B12" s="177" t="s">
        <v>244</v>
      </c>
      <c r="C12" s="358">
        <f>D9</f>
        <v>4266</v>
      </c>
      <c r="D12" s="225">
        <f ca="1">SUM(D9:D11)</f>
        <v>3839.3999999999996</v>
      </c>
      <c r="E12" s="225">
        <f t="shared" ref="E12:H12" ca="1" si="1">SUM(E9:E11)</f>
        <v>3839.3999999999996</v>
      </c>
      <c r="F12" s="225">
        <f t="shared" ca="1" si="1"/>
        <v>3839.3999999999996</v>
      </c>
      <c r="G12" s="225">
        <f t="shared" ca="1" si="1"/>
        <v>3839.3999999999996</v>
      </c>
      <c r="H12" s="225">
        <f t="shared" ca="1" si="1"/>
        <v>3839.3999999999996</v>
      </c>
      <c r="I12" s="196"/>
      <c r="J12" s="196"/>
      <c r="K12" s="196"/>
      <c r="L12" s="196"/>
      <c r="M12" s="196"/>
      <c r="N12" s="196"/>
      <c r="O12" s="196"/>
    </row>
    <row r="13" spans="2:15" x14ac:dyDescent="0.25">
      <c r="B13" s="196"/>
      <c r="C13" s="222"/>
      <c r="D13" s="222"/>
      <c r="E13" s="222"/>
      <c r="F13" s="222"/>
      <c r="G13" s="222"/>
      <c r="H13" s="222"/>
      <c r="I13" s="196"/>
      <c r="J13" s="196"/>
      <c r="K13" s="196"/>
      <c r="L13" s="196"/>
      <c r="M13" s="196"/>
      <c r="N13" s="196"/>
      <c r="O13" s="196"/>
    </row>
    <row r="14" spans="2:15" x14ac:dyDescent="0.25">
      <c r="B14" s="191" t="s">
        <v>268</v>
      </c>
      <c r="C14" s="359"/>
      <c r="D14" s="357"/>
      <c r="E14" s="357"/>
      <c r="F14" s="357"/>
      <c r="G14" s="357"/>
      <c r="H14" s="357"/>
      <c r="I14" s="196"/>
      <c r="J14" s="196"/>
      <c r="K14" s="196"/>
      <c r="L14" s="196"/>
      <c r="M14" s="196"/>
      <c r="N14" s="196"/>
      <c r="O14" s="196"/>
    </row>
    <row r="15" spans="2:15" x14ac:dyDescent="0.25">
      <c r="B15" s="176" t="s">
        <v>262</v>
      </c>
      <c r="C15" s="355"/>
      <c r="D15" s="225">
        <v>7250</v>
      </c>
      <c r="E15" s="225">
        <f>D18</f>
        <v>7250</v>
      </c>
      <c r="F15" s="225">
        <f t="shared" ref="F15:H15" ca="1" si="2">E18</f>
        <v>6525</v>
      </c>
      <c r="G15" s="225">
        <f t="shared" ca="1" si="2"/>
        <v>6525</v>
      </c>
      <c r="H15" s="225">
        <f t="shared" ca="1" si="2"/>
        <v>6525</v>
      </c>
      <c r="I15" s="196"/>
      <c r="J15" s="196"/>
      <c r="K15" s="196"/>
      <c r="L15" s="196"/>
      <c r="M15" s="196"/>
      <c r="N15" s="196"/>
      <c r="O15" s="196"/>
    </row>
    <row r="16" spans="2:15" x14ac:dyDescent="0.25">
      <c r="B16" s="201" t="s">
        <v>263</v>
      </c>
      <c r="C16" s="356"/>
      <c r="D16" s="222">
        <v>0</v>
      </c>
      <c r="E16" s="222">
        <f ca="1">-E17*AER_Assumptions!I$136</f>
        <v>6525</v>
      </c>
      <c r="F16" s="222"/>
      <c r="G16" s="222"/>
      <c r="H16" s="222"/>
      <c r="I16" s="196"/>
      <c r="J16" s="196"/>
      <c r="K16" s="196"/>
      <c r="L16" s="196"/>
      <c r="M16" s="196"/>
      <c r="N16" s="196"/>
      <c r="O16" s="196"/>
    </row>
    <row r="17" spans="2:15" x14ac:dyDescent="0.25">
      <c r="B17" s="201" t="s">
        <v>264</v>
      </c>
      <c r="C17" s="356"/>
      <c r="D17" s="357">
        <v>0</v>
      </c>
      <c r="E17" s="357">
        <v>-7250</v>
      </c>
      <c r="F17" s="357"/>
      <c r="G17" s="357"/>
      <c r="H17" s="357"/>
      <c r="I17" s="196"/>
      <c r="J17" s="196"/>
      <c r="K17" s="196"/>
      <c r="L17" s="196"/>
      <c r="M17" s="196"/>
      <c r="N17" s="196"/>
      <c r="O17" s="196"/>
    </row>
    <row r="18" spans="2:15" x14ac:dyDescent="0.25">
      <c r="B18" s="177" t="s">
        <v>244</v>
      </c>
      <c r="C18" s="360">
        <f>D15</f>
        <v>7250</v>
      </c>
      <c r="D18" s="225">
        <f>SUM(D15:D17)</f>
        <v>7250</v>
      </c>
      <c r="E18" s="225">
        <f t="shared" ref="E18:H18" ca="1" si="3">SUM(E15:E17)</f>
        <v>6525</v>
      </c>
      <c r="F18" s="225">
        <f t="shared" ca="1" si="3"/>
        <v>6525</v>
      </c>
      <c r="G18" s="225">
        <f t="shared" ca="1" si="3"/>
        <v>6525</v>
      </c>
      <c r="H18" s="225">
        <f t="shared" ca="1" si="3"/>
        <v>6525</v>
      </c>
      <c r="I18" s="196"/>
      <c r="J18" s="196"/>
      <c r="K18" s="196"/>
      <c r="L18" s="196"/>
      <c r="M18" s="196"/>
      <c r="N18" s="196"/>
      <c r="O18" s="196"/>
    </row>
    <row r="19" spans="2:15" x14ac:dyDescent="0.25">
      <c r="B19" s="192"/>
      <c r="C19" s="361"/>
      <c r="D19" s="222"/>
      <c r="E19" s="222"/>
      <c r="F19" s="222"/>
      <c r="G19" s="222"/>
      <c r="H19" s="222"/>
      <c r="I19" s="196"/>
      <c r="J19" s="196"/>
      <c r="K19" s="196"/>
      <c r="L19" s="196"/>
      <c r="M19" s="196"/>
      <c r="N19" s="196"/>
      <c r="O19" s="196"/>
    </row>
    <row r="20" spans="2:15" x14ac:dyDescent="0.25">
      <c r="B20" s="191" t="s">
        <v>269</v>
      </c>
      <c r="C20" s="359"/>
      <c r="D20" s="357"/>
      <c r="E20" s="357"/>
      <c r="F20" s="357"/>
      <c r="G20" s="357"/>
      <c r="H20" s="357"/>
      <c r="I20" s="196"/>
      <c r="J20" s="196"/>
      <c r="K20" s="196"/>
      <c r="L20" s="196"/>
      <c r="M20" s="196"/>
      <c r="N20" s="196"/>
      <c r="O20" s="196"/>
    </row>
    <row r="21" spans="2:15" x14ac:dyDescent="0.25">
      <c r="B21" s="176" t="s">
        <v>262</v>
      </c>
      <c r="C21" s="355"/>
      <c r="D21" s="225">
        <v>3650</v>
      </c>
      <c r="E21" s="225">
        <f>D24</f>
        <v>3650</v>
      </c>
      <c r="F21" s="225">
        <f t="shared" ref="F21:H21" si="4">E24</f>
        <v>3650</v>
      </c>
      <c r="G21" s="225">
        <f t="shared" ca="1" si="4"/>
        <v>2920</v>
      </c>
      <c r="H21" s="225">
        <f t="shared" ca="1" si="4"/>
        <v>2920</v>
      </c>
      <c r="I21" s="196"/>
      <c r="J21" s="196"/>
      <c r="K21" s="196"/>
      <c r="L21" s="196"/>
      <c r="M21" s="196"/>
      <c r="N21" s="196"/>
      <c r="O21" s="196"/>
    </row>
    <row r="22" spans="2:15" x14ac:dyDescent="0.25">
      <c r="B22" s="201" t="s">
        <v>263</v>
      </c>
      <c r="C22" s="356"/>
      <c r="D22" s="222">
        <v>0</v>
      </c>
      <c r="E22" s="222">
        <v>0</v>
      </c>
      <c r="F22" s="222">
        <f ca="1">-F23*AER_Assumptions!J$136</f>
        <v>2920</v>
      </c>
      <c r="G22" s="222"/>
      <c r="H22" s="222"/>
      <c r="I22" s="196"/>
      <c r="J22" s="196"/>
      <c r="K22" s="196"/>
      <c r="L22" s="196"/>
      <c r="M22" s="196"/>
      <c r="N22" s="196"/>
      <c r="O22" s="196"/>
    </row>
    <row r="23" spans="2:15" x14ac:dyDescent="0.25">
      <c r="B23" s="201" t="s">
        <v>264</v>
      </c>
      <c r="C23" s="356"/>
      <c r="D23" s="357">
        <v>0</v>
      </c>
      <c r="E23" s="357">
        <v>0</v>
      </c>
      <c r="F23" s="357">
        <v>-3650</v>
      </c>
      <c r="G23" s="357"/>
      <c r="H23" s="357"/>
      <c r="I23" s="196"/>
      <c r="J23" s="196"/>
      <c r="K23" s="196"/>
      <c r="L23" s="196"/>
      <c r="M23" s="196"/>
      <c r="N23" s="196"/>
      <c r="O23" s="196"/>
    </row>
    <row r="24" spans="2:15" x14ac:dyDescent="0.25">
      <c r="B24" s="177" t="s">
        <v>244</v>
      </c>
      <c r="C24" s="360">
        <f>D21</f>
        <v>3650</v>
      </c>
      <c r="D24" s="225">
        <f>SUM(D21:D23)</f>
        <v>3650</v>
      </c>
      <c r="E24" s="225">
        <f t="shared" ref="E24:H24" si="5">SUM(E21:E23)</f>
        <v>3650</v>
      </c>
      <c r="F24" s="225">
        <f t="shared" ca="1" si="5"/>
        <v>2920</v>
      </c>
      <c r="G24" s="225">
        <f t="shared" ca="1" si="5"/>
        <v>2920</v>
      </c>
      <c r="H24" s="225">
        <f t="shared" ca="1" si="5"/>
        <v>2920</v>
      </c>
      <c r="I24" s="196"/>
      <c r="J24" s="196"/>
      <c r="K24" s="196"/>
      <c r="L24" s="196"/>
      <c r="M24" s="196"/>
      <c r="N24" s="196"/>
      <c r="O24" s="196"/>
    </row>
    <row r="25" spans="2:15" x14ac:dyDescent="0.25">
      <c r="B25" s="192"/>
      <c r="C25" s="361"/>
      <c r="D25" s="222"/>
      <c r="E25" s="222"/>
      <c r="F25" s="222"/>
      <c r="G25" s="222"/>
      <c r="H25" s="222"/>
      <c r="I25" s="196"/>
      <c r="J25" s="196"/>
      <c r="K25" s="196"/>
      <c r="L25" s="196"/>
      <c r="M25" s="196"/>
      <c r="N25" s="196"/>
      <c r="O25" s="196"/>
    </row>
    <row r="26" spans="2:15" x14ac:dyDescent="0.25">
      <c r="B26" s="191" t="s">
        <v>270</v>
      </c>
      <c r="C26" s="359"/>
      <c r="D26" s="357"/>
      <c r="E26" s="357"/>
      <c r="F26" s="357"/>
      <c r="G26" s="357"/>
      <c r="H26" s="357"/>
      <c r="I26" s="196"/>
      <c r="J26" s="196"/>
      <c r="K26" s="196"/>
      <c r="L26" s="196"/>
      <c r="M26" s="196"/>
      <c r="N26" s="196"/>
      <c r="O26" s="196"/>
    </row>
    <row r="27" spans="2:15" x14ac:dyDescent="0.25">
      <c r="B27" s="176" t="s">
        <v>262</v>
      </c>
      <c r="C27" s="355"/>
      <c r="D27" s="225">
        <v>6644.5</v>
      </c>
      <c r="E27" s="225">
        <f>D30</f>
        <v>6644.5</v>
      </c>
      <c r="F27" s="225">
        <f t="shared" ref="F27:H27" si="6">E30</f>
        <v>6644.5</v>
      </c>
      <c r="G27" s="225">
        <f t="shared" si="6"/>
        <v>6644.5</v>
      </c>
      <c r="H27" s="225">
        <f t="shared" ca="1" si="6"/>
        <v>5315.6</v>
      </c>
      <c r="I27" s="196"/>
      <c r="J27" s="196"/>
      <c r="K27" s="196"/>
      <c r="L27" s="196"/>
      <c r="M27" s="196"/>
      <c r="N27" s="196"/>
      <c r="O27" s="196"/>
    </row>
    <row r="28" spans="2:15" x14ac:dyDescent="0.25">
      <c r="B28" s="201" t="s">
        <v>263</v>
      </c>
      <c r="C28" s="356"/>
      <c r="D28" s="222">
        <v>0</v>
      </c>
      <c r="E28" s="222">
        <v>0</v>
      </c>
      <c r="F28" s="222">
        <v>0</v>
      </c>
      <c r="G28" s="222">
        <f ca="1">-G29*AER_Assumptions!K$136</f>
        <v>5315.6</v>
      </c>
      <c r="H28" s="222"/>
      <c r="I28" s="196"/>
      <c r="J28" s="196"/>
      <c r="K28" s="196"/>
      <c r="L28" s="196"/>
      <c r="M28" s="196"/>
      <c r="N28" s="196"/>
      <c r="O28" s="196"/>
    </row>
    <row r="29" spans="2:15" x14ac:dyDescent="0.25">
      <c r="B29" s="201" t="s">
        <v>264</v>
      </c>
      <c r="C29" s="362"/>
      <c r="D29" s="357">
        <v>0</v>
      </c>
      <c r="E29" s="357">
        <v>0</v>
      </c>
      <c r="F29" s="357">
        <v>0</v>
      </c>
      <c r="G29" s="357">
        <f>-6644.5</f>
        <v>-6644.5</v>
      </c>
      <c r="H29" s="357"/>
      <c r="I29" s="196"/>
      <c r="J29" s="196"/>
      <c r="K29" s="196"/>
      <c r="L29" s="196"/>
      <c r="M29" s="196"/>
      <c r="N29" s="196"/>
      <c r="O29" s="196"/>
    </row>
    <row r="30" spans="2:15" x14ac:dyDescent="0.25">
      <c r="B30" s="177" t="s">
        <v>244</v>
      </c>
      <c r="C30" s="363">
        <f>D27</f>
        <v>6644.5</v>
      </c>
      <c r="D30" s="357">
        <f>SUM(D27:D29)</f>
        <v>6644.5</v>
      </c>
      <c r="E30" s="357">
        <f t="shared" ref="E30:H30" si="7">SUM(E27:E29)</f>
        <v>6644.5</v>
      </c>
      <c r="F30" s="357">
        <f t="shared" si="7"/>
        <v>6644.5</v>
      </c>
      <c r="G30" s="357">
        <f t="shared" ca="1" si="7"/>
        <v>5315.6</v>
      </c>
      <c r="H30" s="357">
        <f t="shared" ca="1" si="7"/>
        <v>5315.6</v>
      </c>
      <c r="I30" s="196"/>
      <c r="J30" s="196"/>
      <c r="K30" s="196"/>
      <c r="L30" s="196"/>
      <c r="M30" s="196"/>
      <c r="N30" s="196"/>
      <c r="O30" s="196"/>
    </row>
    <row r="31" spans="2:15" x14ac:dyDescent="0.25">
      <c r="B31" s="192"/>
      <c r="C31" s="361"/>
      <c r="D31" s="222"/>
      <c r="E31" s="222"/>
      <c r="F31" s="222"/>
      <c r="G31" s="222"/>
      <c r="H31" s="222"/>
      <c r="I31" s="196"/>
      <c r="J31" s="196"/>
      <c r="K31" s="196"/>
      <c r="L31" s="196"/>
      <c r="M31" s="196"/>
      <c r="N31" s="196"/>
      <c r="O31" s="196"/>
    </row>
    <row r="32" spans="2:15" x14ac:dyDescent="0.25">
      <c r="B32" s="191" t="s">
        <v>271</v>
      </c>
      <c r="C32" s="359"/>
      <c r="D32" s="357"/>
      <c r="E32" s="357"/>
      <c r="F32" s="357"/>
      <c r="G32" s="357"/>
      <c r="H32" s="357"/>
      <c r="I32" s="196"/>
      <c r="J32" s="196"/>
      <c r="K32" s="196"/>
      <c r="L32" s="196"/>
      <c r="M32" s="196"/>
      <c r="N32" s="196"/>
      <c r="O32" s="196"/>
    </row>
    <row r="33" spans="2:15" x14ac:dyDescent="0.25">
      <c r="B33" s="176" t="s">
        <v>262</v>
      </c>
      <c r="C33" s="355"/>
      <c r="D33" s="214">
        <v>1600</v>
      </c>
      <c r="E33" s="214">
        <f>D36</f>
        <v>1600</v>
      </c>
      <c r="F33" s="214">
        <f t="shared" ref="F33:H33" si="8">E36</f>
        <v>1600</v>
      </c>
      <c r="G33" s="214">
        <f t="shared" si="8"/>
        <v>1600</v>
      </c>
      <c r="H33" s="214">
        <f t="shared" si="8"/>
        <v>1600</v>
      </c>
      <c r="I33" s="196"/>
      <c r="J33" s="196"/>
      <c r="K33" s="196"/>
      <c r="L33" s="196"/>
      <c r="M33" s="196"/>
      <c r="N33" s="196"/>
      <c r="O33" s="196"/>
    </row>
    <row r="34" spans="2:15" x14ac:dyDescent="0.25">
      <c r="B34" s="201" t="s">
        <v>263</v>
      </c>
      <c r="C34" s="356"/>
      <c r="D34" s="215">
        <v>0</v>
      </c>
      <c r="E34" s="215">
        <v>0</v>
      </c>
      <c r="F34" s="215">
        <v>0</v>
      </c>
      <c r="G34" s="215">
        <v>0</v>
      </c>
      <c r="H34" s="222">
        <f ca="1">-H35*AER_Assumptions!L$136</f>
        <v>1280</v>
      </c>
      <c r="I34" s="196"/>
      <c r="J34" s="196"/>
      <c r="K34" s="196"/>
      <c r="L34" s="196"/>
      <c r="M34" s="196"/>
      <c r="N34" s="196"/>
      <c r="O34" s="196"/>
    </row>
    <row r="35" spans="2:15" x14ac:dyDescent="0.25">
      <c r="B35" s="201" t="s">
        <v>264</v>
      </c>
      <c r="C35" s="356"/>
      <c r="D35" s="216">
        <v>0</v>
      </c>
      <c r="E35" s="216">
        <v>0</v>
      </c>
      <c r="F35" s="216">
        <v>0</v>
      </c>
      <c r="G35" s="216">
        <v>0</v>
      </c>
      <c r="H35" s="216">
        <v>-1600</v>
      </c>
      <c r="I35" s="196"/>
      <c r="J35" s="196"/>
      <c r="K35" s="196"/>
      <c r="L35" s="196"/>
      <c r="M35" s="196"/>
      <c r="N35" s="196"/>
      <c r="O35" s="196"/>
    </row>
    <row r="36" spans="2:15" x14ac:dyDescent="0.25">
      <c r="B36" s="177" t="s">
        <v>244</v>
      </c>
      <c r="C36" s="360">
        <f>D33</f>
        <v>1600</v>
      </c>
      <c r="D36" s="217">
        <f>SUM(D33:D35)</f>
        <v>1600</v>
      </c>
      <c r="E36" s="217">
        <f>SUM(E33:E35)</f>
        <v>1600</v>
      </c>
      <c r="F36" s="217">
        <f t="shared" ref="F36:H36" si="9">SUM(F33:F35)</f>
        <v>1600</v>
      </c>
      <c r="G36" s="217">
        <f t="shared" si="9"/>
        <v>1600</v>
      </c>
      <c r="H36" s="217">
        <f t="shared" ca="1" si="9"/>
        <v>1280</v>
      </c>
      <c r="I36" s="196"/>
      <c r="J36" s="196"/>
      <c r="K36" s="196"/>
      <c r="L36" s="196"/>
      <c r="M36" s="196"/>
      <c r="N36" s="196"/>
      <c r="O36" s="196"/>
    </row>
    <row r="37" spans="2:15" x14ac:dyDescent="0.25">
      <c r="B37" s="192"/>
      <c r="C37" s="361"/>
      <c r="D37" s="218" t="s">
        <v>285</v>
      </c>
      <c r="E37" s="218"/>
      <c r="F37" s="218"/>
      <c r="G37" s="218"/>
      <c r="H37" s="218"/>
      <c r="I37" s="196"/>
      <c r="J37" s="196"/>
      <c r="K37" s="196"/>
      <c r="L37" s="196"/>
      <c r="M37" s="196"/>
      <c r="N37" s="196"/>
      <c r="O37" s="196"/>
    </row>
    <row r="38" spans="2:15" x14ac:dyDescent="0.25">
      <c r="B38" s="188" t="s">
        <v>266</v>
      </c>
      <c r="C38" s="364"/>
      <c r="D38" s="365"/>
      <c r="E38" s="365"/>
      <c r="F38" s="365"/>
      <c r="G38" s="365"/>
      <c r="H38" s="365"/>
      <c r="I38" s="196"/>
      <c r="J38" s="196"/>
      <c r="K38" s="196"/>
      <c r="L38" s="196"/>
      <c r="M38" s="196"/>
      <c r="N38" s="196"/>
      <c r="O38" s="196"/>
    </row>
    <row r="39" spans="2:15" x14ac:dyDescent="0.25">
      <c r="B39" s="191" t="s">
        <v>267</v>
      </c>
      <c r="C39" s="359"/>
      <c r="D39" s="357"/>
      <c r="E39" s="357"/>
      <c r="F39" s="357"/>
      <c r="G39" s="357"/>
      <c r="H39" s="357"/>
      <c r="I39" s="196"/>
      <c r="J39" s="196"/>
      <c r="K39" s="196"/>
      <c r="L39" s="196"/>
      <c r="M39" s="196"/>
      <c r="N39" s="196"/>
      <c r="O39" s="196"/>
    </row>
    <row r="40" spans="2:15" x14ac:dyDescent="0.25">
      <c r="B40" s="176" t="s">
        <v>262</v>
      </c>
      <c r="C40" s="355"/>
      <c r="D40" s="225">
        <v>1896.3</v>
      </c>
      <c r="E40" s="225">
        <f ca="1">D43</f>
        <v>1706.6700000000003</v>
      </c>
      <c r="F40" s="225">
        <f t="shared" ref="F40:H40" ca="1" si="10">E43</f>
        <v>1706.6700000000003</v>
      </c>
      <c r="G40" s="225">
        <f t="shared" ca="1" si="10"/>
        <v>1706.6700000000003</v>
      </c>
      <c r="H40" s="225">
        <f t="shared" ca="1" si="10"/>
        <v>1706.6700000000003</v>
      </c>
      <c r="I40" s="196"/>
      <c r="J40" s="196"/>
      <c r="K40" s="196"/>
      <c r="L40" s="196"/>
      <c r="M40" s="196"/>
      <c r="N40" s="196"/>
      <c r="O40" s="196"/>
    </row>
    <row r="41" spans="2:15" x14ac:dyDescent="0.25">
      <c r="B41" s="201" t="s">
        <v>263</v>
      </c>
      <c r="C41" s="356"/>
      <c r="D41" s="222">
        <f ca="1">-D42*AER_Assumptions!H$136</f>
        <v>1706.67</v>
      </c>
      <c r="E41" s="222"/>
      <c r="F41" s="222"/>
      <c r="G41" s="222"/>
      <c r="H41" s="222"/>
      <c r="I41" s="196"/>
      <c r="J41" s="196"/>
      <c r="K41" s="196"/>
      <c r="L41" s="196"/>
      <c r="M41" s="196"/>
      <c r="N41" s="196"/>
      <c r="O41" s="196"/>
    </row>
    <row r="42" spans="2:15" x14ac:dyDescent="0.25">
      <c r="B42" s="201" t="s">
        <v>264</v>
      </c>
      <c r="C42" s="356"/>
      <c r="D42" s="357">
        <v>-1896.3</v>
      </c>
      <c r="E42" s="357"/>
      <c r="F42" s="357"/>
      <c r="G42" s="357"/>
      <c r="H42" s="357"/>
      <c r="I42" s="196"/>
      <c r="J42" s="196"/>
      <c r="K42" s="196"/>
      <c r="L42" s="196"/>
      <c r="M42" s="196"/>
      <c r="N42" s="196"/>
      <c r="O42" s="196"/>
    </row>
    <row r="43" spans="2:15" x14ac:dyDescent="0.25">
      <c r="B43" s="177" t="s">
        <v>244</v>
      </c>
      <c r="C43" s="360">
        <f>D40</f>
        <v>1896.3</v>
      </c>
      <c r="D43" s="225">
        <f ca="1">SUM(D40:D42)</f>
        <v>1706.6700000000003</v>
      </c>
      <c r="E43" s="225">
        <f t="shared" ref="E43" ca="1" si="11">SUM(E40:E42)</f>
        <v>1706.6700000000003</v>
      </c>
      <c r="F43" s="225">
        <f t="shared" ref="F43" ca="1" si="12">SUM(F40:F42)</f>
        <v>1706.6700000000003</v>
      </c>
      <c r="G43" s="225">
        <f t="shared" ref="G43" ca="1" si="13">SUM(G40:G42)</f>
        <v>1706.6700000000003</v>
      </c>
      <c r="H43" s="225">
        <f t="shared" ref="H43" ca="1" si="14">SUM(H40:H42)</f>
        <v>1706.6700000000003</v>
      </c>
      <c r="I43" s="196"/>
      <c r="J43" s="196"/>
      <c r="K43" s="196"/>
      <c r="L43" s="196"/>
      <c r="M43" s="196"/>
      <c r="N43" s="196"/>
      <c r="O43" s="196"/>
    </row>
    <row r="44" spans="2:15" x14ac:dyDescent="0.25">
      <c r="B44" s="196"/>
      <c r="C44" s="222"/>
      <c r="D44" s="222"/>
      <c r="E44" s="222"/>
      <c r="F44" s="222"/>
      <c r="G44" s="222"/>
      <c r="H44" s="222"/>
      <c r="I44" s="196"/>
      <c r="J44" s="196"/>
      <c r="K44" s="196"/>
      <c r="L44" s="196"/>
      <c r="M44" s="196"/>
      <c r="N44" s="196"/>
      <c r="O44" s="196"/>
    </row>
    <row r="45" spans="2:15" x14ac:dyDescent="0.25">
      <c r="B45" s="191" t="s">
        <v>268</v>
      </c>
      <c r="C45" s="359"/>
      <c r="D45" s="357"/>
      <c r="E45" s="357"/>
      <c r="F45" s="357"/>
      <c r="G45" s="357"/>
      <c r="H45" s="357"/>
      <c r="I45" s="196"/>
      <c r="J45" s="196"/>
      <c r="K45" s="196"/>
      <c r="L45" s="196"/>
      <c r="M45" s="196"/>
      <c r="N45" s="196"/>
      <c r="O45" s="196"/>
    </row>
    <row r="46" spans="2:15" x14ac:dyDescent="0.25">
      <c r="B46" s="176" t="s">
        <v>262</v>
      </c>
      <c r="C46" s="355"/>
      <c r="D46" s="225">
        <v>1093.8</v>
      </c>
      <c r="E46" s="225">
        <f>D49</f>
        <v>1093.8</v>
      </c>
      <c r="F46" s="225">
        <f t="shared" ref="F46:H46" ca="1" si="15">E49</f>
        <v>984.41999999999985</v>
      </c>
      <c r="G46" s="225">
        <f t="shared" ca="1" si="15"/>
        <v>984.41999999999985</v>
      </c>
      <c r="H46" s="225">
        <f t="shared" ca="1" si="15"/>
        <v>984.41999999999985</v>
      </c>
      <c r="I46" s="196"/>
      <c r="J46" s="196"/>
      <c r="K46" s="196"/>
      <c r="L46" s="196"/>
      <c r="M46" s="196"/>
      <c r="N46" s="196"/>
      <c r="O46" s="196"/>
    </row>
    <row r="47" spans="2:15" x14ac:dyDescent="0.25">
      <c r="B47" s="201" t="s">
        <v>263</v>
      </c>
      <c r="C47" s="356"/>
      <c r="D47" s="222">
        <v>0</v>
      </c>
      <c r="E47" s="222">
        <f ca="1">-E48*AER_Assumptions!I$136</f>
        <v>984.42</v>
      </c>
      <c r="F47" s="222"/>
      <c r="G47" s="222"/>
      <c r="H47" s="222"/>
      <c r="I47" s="196"/>
      <c r="J47" s="196"/>
      <c r="K47" s="196"/>
      <c r="L47" s="196"/>
      <c r="M47" s="196"/>
      <c r="N47" s="196"/>
      <c r="O47" s="196"/>
    </row>
    <row r="48" spans="2:15" x14ac:dyDescent="0.25">
      <c r="B48" s="201" t="s">
        <v>264</v>
      </c>
      <c r="C48" s="356"/>
      <c r="D48" s="357">
        <v>0</v>
      </c>
      <c r="E48" s="357">
        <v>-1093.8</v>
      </c>
      <c r="F48" s="357"/>
      <c r="G48" s="357"/>
      <c r="H48" s="357"/>
      <c r="I48" s="196"/>
      <c r="J48" s="196"/>
      <c r="K48" s="196"/>
      <c r="L48" s="196"/>
      <c r="M48" s="196"/>
      <c r="N48" s="196"/>
      <c r="O48" s="196"/>
    </row>
    <row r="49" spans="2:15" x14ac:dyDescent="0.25">
      <c r="B49" s="177" t="s">
        <v>244</v>
      </c>
      <c r="C49" s="360">
        <f>D46</f>
        <v>1093.8</v>
      </c>
      <c r="D49" s="225">
        <f>SUM(D46:D48)</f>
        <v>1093.8</v>
      </c>
      <c r="E49" s="225">
        <f t="shared" ref="E49" ca="1" si="16">SUM(E46:E48)</f>
        <v>984.41999999999985</v>
      </c>
      <c r="F49" s="225">
        <f t="shared" ref="F49" ca="1" si="17">SUM(F46:F48)</f>
        <v>984.41999999999985</v>
      </c>
      <c r="G49" s="225">
        <f t="shared" ref="G49" ca="1" si="18">SUM(G46:G48)</f>
        <v>984.41999999999985</v>
      </c>
      <c r="H49" s="225">
        <f t="shared" ref="H49" ca="1" si="19">SUM(H46:H48)</f>
        <v>984.41999999999985</v>
      </c>
      <c r="I49" s="196"/>
      <c r="J49" s="196"/>
      <c r="K49" s="196"/>
      <c r="L49" s="196"/>
      <c r="M49" s="196"/>
      <c r="N49" s="196"/>
      <c r="O49" s="196"/>
    </row>
    <row r="50" spans="2:15" x14ac:dyDescent="0.25">
      <c r="B50" s="192"/>
      <c r="C50" s="361"/>
      <c r="D50" s="222"/>
      <c r="E50" s="222"/>
      <c r="F50" s="222"/>
      <c r="G50" s="222"/>
      <c r="H50" s="222"/>
      <c r="I50" s="196"/>
      <c r="J50" s="196"/>
      <c r="K50" s="196"/>
      <c r="L50" s="196"/>
      <c r="M50" s="196"/>
      <c r="N50" s="196"/>
      <c r="O50" s="196"/>
    </row>
    <row r="51" spans="2:15" x14ac:dyDescent="0.25">
      <c r="B51" s="191" t="s">
        <v>269</v>
      </c>
      <c r="C51" s="359"/>
      <c r="D51" s="357"/>
      <c r="E51" s="357"/>
      <c r="F51" s="357"/>
      <c r="G51" s="357"/>
      <c r="H51" s="357"/>
      <c r="I51" s="196"/>
      <c r="J51" s="196"/>
      <c r="K51" s="196"/>
      <c r="L51" s="196"/>
      <c r="M51" s="196"/>
      <c r="N51" s="196"/>
      <c r="O51" s="196"/>
    </row>
    <row r="52" spans="2:15" x14ac:dyDescent="0.25">
      <c r="B52" s="176" t="s">
        <v>262</v>
      </c>
      <c r="C52" s="355"/>
      <c r="D52" s="225">
        <v>2182.3000000000002</v>
      </c>
      <c r="E52" s="225">
        <f>D55</f>
        <v>2182.3000000000002</v>
      </c>
      <c r="F52" s="225">
        <f t="shared" ref="F52:H52" si="20">E55</f>
        <v>2182.3000000000002</v>
      </c>
      <c r="G52" s="225">
        <f t="shared" ca="1" si="20"/>
        <v>1745.8400000000001</v>
      </c>
      <c r="H52" s="225">
        <f t="shared" ca="1" si="20"/>
        <v>1745.8400000000001</v>
      </c>
      <c r="I52" s="196"/>
      <c r="J52" s="196"/>
      <c r="K52" s="196"/>
      <c r="L52" s="196"/>
      <c r="M52" s="196"/>
      <c r="N52" s="196"/>
      <c r="O52" s="196"/>
    </row>
    <row r="53" spans="2:15" x14ac:dyDescent="0.25">
      <c r="B53" s="201" t="s">
        <v>263</v>
      </c>
      <c r="C53" s="356"/>
      <c r="D53" s="222">
        <v>0</v>
      </c>
      <c r="E53" s="222">
        <v>0</v>
      </c>
      <c r="F53" s="222">
        <f ca="1">-F54*AER_Assumptions!J$136</f>
        <v>1745.8400000000001</v>
      </c>
      <c r="G53" s="222"/>
      <c r="H53" s="222"/>
      <c r="I53" s="196"/>
      <c r="J53" s="196"/>
      <c r="K53" s="196"/>
      <c r="L53" s="196"/>
      <c r="M53" s="196"/>
      <c r="N53" s="196"/>
      <c r="O53" s="196"/>
    </row>
    <row r="54" spans="2:15" x14ac:dyDescent="0.25">
      <c r="B54" s="201" t="s">
        <v>264</v>
      </c>
      <c r="C54" s="356"/>
      <c r="D54" s="357">
        <v>0</v>
      </c>
      <c r="E54" s="357">
        <v>0</v>
      </c>
      <c r="F54" s="357">
        <v>-2182.3000000000002</v>
      </c>
      <c r="G54" s="357"/>
      <c r="H54" s="357"/>
      <c r="I54" s="196"/>
      <c r="J54" s="196"/>
      <c r="K54" s="196"/>
      <c r="L54" s="196"/>
      <c r="M54" s="196"/>
      <c r="N54" s="196"/>
      <c r="O54" s="196"/>
    </row>
    <row r="55" spans="2:15" x14ac:dyDescent="0.25">
      <c r="B55" s="177" t="s">
        <v>244</v>
      </c>
      <c r="C55" s="360">
        <f>D52</f>
        <v>2182.3000000000002</v>
      </c>
      <c r="D55" s="225">
        <f>SUM(D52:D54)</f>
        <v>2182.3000000000002</v>
      </c>
      <c r="E55" s="225">
        <f t="shared" ref="E55" si="21">SUM(E52:E54)</f>
        <v>2182.3000000000002</v>
      </c>
      <c r="F55" s="225">
        <f t="shared" ref="F55" ca="1" si="22">SUM(F52:F54)</f>
        <v>1745.8400000000001</v>
      </c>
      <c r="G55" s="225">
        <f t="shared" ref="G55" ca="1" si="23">SUM(G52:G54)</f>
        <v>1745.8400000000001</v>
      </c>
      <c r="H55" s="225">
        <f t="shared" ref="H55" ca="1" si="24">SUM(H52:H54)</f>
        <v>1745.8400000000001</v>
      </c>
      <c r="I55" s="196"/>
      <c r="J55" s="196"/>
      <c r="K55" s="196"/>
      <c r="L55" s="196"/>
      <c r="M55" s="196"/>
      <c r="N55" s="196"/>
      <c r="O55" s="196"/>
    </row>
    <row r="56" spans="2:15" x14ac:dyDescent="0.25">
      <c r="B56" s="192"/>
      <c r="C56" s="361"/>
      <c r="D56" s="222"/>
      <c r="E56" s="222"/>
      <c r="F56" s="222"/>
      <c r="G56" s="222"/>
      <c r="H56" s="222"/>
      <c r="I56" s="196"/>
      <c r="J56" s="196"/>
      <c r="K56" s="196"/>
      <c r="L56" s="196"/>
      <c r="M56" s="196"/>
      <c r="N56" s="196"/>
      <c r="O56" s="196"/>
    </row>
    <row r="57" spans="2:15" x14ac:dyDescent="0.25">
      <c r="B57" s="191" t="s">
        <v>270</v>
      </c>
      <c r="C57" s="359"/>
      <c r="D57" s="357"/>
      <c r="E57" s="357"/>
      <c r="F57" s="357"/>
      <c r="G57" s="357"/>
      <c r="H57" s="357"/>
      <c r="I57" s="196"/>
      <c r="J57" s="196"/>
      <c r="K57" s="196"/>
      <c r="L57" s="196"/>
      <c r="M57" s="196"/>
      <c r="N57" s="196"/>
      <c r="O57" s="196"/>
    </row>
    <row r="58" spans="2:15" x14ac:dyDescent="0.25">
      <c r="B58" s="176" t="s">
        <v>262</v>
      </c>
      <c r="C58" s="355"/>
      <c r="D58" s="225">
        <v>897.5</v>
      </c>
      <c r="E58" s="225">
        <f>D61</f>
        <v>897.5</v>
      </c>
      <c r="F58" s="225">
        <f t="shared" ref="F58:H58" si="25">E61</f>
        <v>897.5</v>
      </c>
      <c r="G58" s="225">
        <f t="shared" si="25"/>
        <v>897.5</v>
      </c>
      <c r="H58" s="225">
        <f t="shared" ca="1" si="25"/>
        <v>718</v>
      </c>
      <c r="I58" s="196"/>
      <c r="J58" s="196"/>
      <c r="K58" s="196"/>
      <c r="L58" s="196"/>
      <c r="M58" s="196"/>
      <c r="N58" s="196"/>
      <c r="O58" s="196"/>
    </row>
    <row r="59" spans="2:15" x14ac:dyDescent="0.25">
      <c r="B59" s="201" t="s">
        <v>263</v>
      </c>
      <c r="C59" s="356"/>
      <c r="D59" s="222">
        <v>0</v>
      </c>
      <c r="E59" s="222">
        <v>0</v>
      </c>
      <c r="F59" s="222">
        <v>0</v>
      </c>
      <c r="G59" s="222">
        <f ca="1">-G60*AER_Assumptions!K$136</f>
        <v>718</v>
      </c>
      <c r="H59" s="222"/>
      <c r="I59" s="196"/>
      <c r="J59" s="196"/>
      <c r="K59" s="196"/>
      <c r="L59" s="196"/>
      <c r="M59" s="196"/>
      <c r="N59" s="196"/>
      <c r="O59" s="196"/>
    </row>
    <row r="60" spans="2:15" x14ac:dyDescent="0.25">
      <c r="B60" s="201" t="s">
        <v>264</v>
      </c>
      <c r="C60" s="356"/>
      <c r="D60" s="357">
        <v>0</v>
      </c>
      <c r="E60" s="357">
        <v>0</v>
      </c>
      <c r="F60" s="357">
        <v>0</v>
      </c>
      <c r="G60" s="357">
        <v>-897.5</v>
      </c>
      <c r="H60" s="357"/>
      <c r="I60" s="196"/>
      <c r="J60" s="196"/>
      <c r="K60" s="196"/>
      <c r="L60" s="196"/>
      <c r="M60" s="196"/>
      <c r="N60" s="196"/>
      <c r="O60" s="196"/>
    </row>
    <row r="61" spans="2:15" x14ac:dyDescent="0.25">
      <c r="B61" s="177" t="s">
        <v>244</v>
      </c>
      <c r="C61" s="360">
        <f>D58</f>
        <v>897.5</v>
      </c>
      <c r="D61" s="225">
        <f>SUM(D58:D60)</f>
        <v>897.5</v>
      </c>
      <c r="E61" s="225">
        <f t="shared" ref="E61" si="26">SUM(E58:E60)</f>
        <v>897.5</v>
      </c>
      <c r="F61" s="225">
        <f t="shared" ref="F61" si="27">SUM(F58:F60)</f>
        <v>897.5</v>
      </c>
      <c r="G61" s="225">
        <f t="shared" ref="G61" ca="1" si="28">SUM(G58:G60)</f>
        <v>718</v>
      </c>
      <c r="H61" s="225">
        <f t="shared" ref="H61" ca="1" si="29">SUM(H58:H60)</f>
        <v>718</v>
      </c>
      <c r="I61" s="196"/>
      <c r="J61" s="196"/>
      <c r="K61" s="196"/>
      <c r="L61" s="196"/>
      <c r="M61" s="196"/>
      <c r="N61" s="196"/>
      <c r="O61" s="196"/>
    </row>
    <row r="62" spans="2:15" x14ac:dyDescent="0.25">
      <c r="B62" s="192"/>
      <c r="C62" s="361"/>
      <c r="D62" s="222"/>
      <c r="E62" s="222"/>
      <c r="F62" s="222"/>
      <c r="G62" s="222"/>
      <c r="H62" s="222"/>
      <c r="I62" s="196"/>
      <c r="J62" s="196"/>
      <c r="K62" s="196"/>
      <c r="L62" s="196"/>
      <c r="M62" s="196"/>
      <c r="N62" s="196"/>
      <c r="O62" s="196"/>
    </row>
    <row r="63" spans="2:15" x14ac:dyDescent="0.25">
      <c r="B63" s="191" t="s">
        <v>271</v>
      </c>
      <c r="C63" s="359"/>
      <c r="D63" s="357"/>
      <c r="E63" s="357"/>
      <c r="F63" s="357"/>
      <c r="G63" s="357"/>
      <c r="H63" s="357"/>
      <c r="I63" s="196"/>
      <c r="J63" s="196"/>
      <c r="K63" s="196"/>
      <c r="L63" s="196"/>
      <c r="M63" s="196"/>
      <c r="N63" s="196"/>
      <c r="O63" s="196"/>
    </row>
    <row r="64" spans="2:15" x14ac:dyDescent="0.25">
      <c r="B64" s="176" t="s">
        <v>262</v>
      </c>
      <c r="C64" s="355"/>
      <c r="D64" s="214">
        <v>1069.5</v>
      </c>
      <c r="E64" s="214">
        <f>D67</f>
        <v>1069.5</v>
      </c>
      <c r="F64" s="214">
        <f t="shared" ref="F64:H64" si="30">E67</f>
        <v>1069.5</v>
      </c>
      <c r="G64" s="214">
        <f t="shared" si="30"/>
        <v>1069.5</v>
      </c>
      <c r="H64" s="214">
        <f t="shared" si="30"/>
        <v>1069.5</v>
      </c>
      <c r="I64" s="196"/>
      <c r="J64" s="196"/>
      <c r="K64" s="196"/>
      <c r="L64" s="196"/>
      <c r="M64" s="196"/>
      <c r="N64" s="196"/>
      <c r="O64" s="196"/>
    </row>
    <row r="65" spans="1:15" x14ac:dyDescent="0.25">
      <c r="B65" s="201" t="s">
        <v>263</v>
      </c>
      <c r="C65" s="356"/>
      <c r="D65" s="215">
        <v>0</v>
      </c>
      <c r="E65" s="215">
        <v>0</v>
      </c>
      <c r="F65" s="215">
        <v>0</v>
      </c>
      <c r="G65" s="215">
        <v>0</v>
      </c>
      <c r="H65" s="222">
        <f ca="1">-H66*AER_Assumptions!L$136</f>
        <v>855.6</v>
      </c>
      <c r="I65" s="196"/>
      <c r="J65" s="196"/>
      <c r="K65" s="196"/>
      <c r="L65" s="196"/>
      <c r="M65" s="196"/>
      <c r="N65" s="196"/>
      <c r="O65" s="196"/>
    </row>
    <row r="66" spans="1:15" x14ac:dyDescent="0.25">
      <c r="B66" s="201" t="s">
        <v>264</v>
      </c>
      <c r="C66" s="356"/>
      <c r="D66" s="216">
        <v>0</v>
      </c>
      <c r="E66" s="216">
        <v>0</v>
      </c>
      <c r="F66" s="216">
        <v>0</v>
      </c>
      <c r="G66" s="216">
        <v>0</v>
      </c>
      <c r="H66" s="216">
        <v>-1069.5</v>
      </c>
      <c r="I66" s="196"/>
      <c r="J66" s="196"/>
      <c r="K66" s="196"/>
      <c r="L66" s="196"/>
      <c r="M66" s="196"/>
      <c r="N66" s="196"/>
      <c r="O66" s="196"/>
    </row>
    <row r="67" spans="1:15" x14ac:dyDescent="0.25">
      <c r="B67" s="177" t="s">
        <v>244</v>
      </c>
      <c r="C67" s="360">
        <f>D64</f>
        <v>1069.5</v>
      </c>
      <c r="D67" s="217">
        <f>SUM(D64:D66)</f>
        <v>1069.5</v>
      </c>
      <c r="E67" s="217">
        <f t="shared" ref="E67" si="31">SUM(E64:E66)</f>
        <v>1069.5</v>
      </c>
      <c r="F67" s="217">
        <f t="shared" ref="F67" si="32">SUM(F64:F66)</f>
        <v>1069.5</v>
      </c>
      <c r="G67" s="217">
        <f t="shared" ref="G67" si="33">SUM(G64:G66)</f>
        <v>1069.5</v>
      </c>
      <c r="H67" s="217">
        <f t="shared" ref="H67" ca="1" si="34">SUM(H64:H66)</f>
        <v>855.59999999999991</v>
      </c>
      <c r="I67" s="196"/>
      <c r="J67" s="196"/>
      <c r="K67" s="196"/>
      <c r="L67" s="196"/>
      <c r="M67" s="196"/>
      <c r="N67" s="196"/>
      <c r="O67" s="196"/>
    </row>
    <row r="68" spans="1:15" x14ac:dyDescent="0.25">
      <c r="A68" s="202"/>
      <c r="B68" s="193"/>
      <c r="C68" s="366"/>
      <c r="D68" s="219"/>
      <c r="E68" s="219"/>
      <c r="F68" s="219"/>
      <c r="G68" s="219"/>
      <c r="H68" s="219"/>
      <c r="I68" s="196"/>
      <c r="J68" s="196"/>
      <c r="K68" s="196"/>
      <c r="L68" s="196"/>
      <c r="M68" s="196"/>
      <c r="N68" s="196"/>
      <c r="O68" s="196"/>
    </row>
    <row r="69" spans="1:15" x14ac:dyDescent="0.25">
      <c r="A69" s="202"/>
      <c r="B69" s="193" t="s">
        <v>275</v>
      </c>
      <c r="C69" s="366"/>
      <c r="D69" s="219">
        <f ca="1">D10+D16+D22+D28+D34+D41+D47+D53+D59+D65</f>
        <v>5546.07</v>
      </c>
      <c r="E69" s="219">
        <f t="shared" ref="E69:H69" ca="1" si="35">E10+E16+E22+E28+E34+E41+E47+E53+E59+E65</f>
        <v>7509.42</v>
      </c>
      <c r="F69" s="219">
        <f t="shared" ca="1" si="35"/>
        <v>4665.84</v>
      </c>
      <c r="G69" s="219">
        <f t="shared" ca="1" si="35"/>
        <v>6033.6</v>
      </c>
      <c r="H69" s="219">
        <f t="shared" ca="1" si="35"/>
        <v>2135.6</v>
      </c>
      <c r="I69" s="196"/>
      <c r="J69" s="196"/>
      <c r="K69" s="196"/>
      <c r="L69" s="196"/>
      <c r="M69" s="196"/>
      <c r="N69" s="196"/>
      <c r="O69" s="196"/>
    </row>
    <row r="70" spans="1:15" x14ac:dyDescent="0.25">
      <c r="A70" s="203"/>
      <c r="B70" s="211" t="s">
        <v>276</v>
      </c>
      <c r="C70" s="367"/>
      <c r="D70" s="220">
        <f>D11+D17+D23+D29+D35+D42+D48+D54+D60+D66</f>
        <v>-6162.3</v>
      </c>
      <c r="E70" s="220">
        <f t="shared" ref="E70:H70" si="36">E11+E17+E23+E29+E35+E42+E48+E54+E60+E66</f>
        <v>-8343.7999999999993</v>
      </c>
      <c r="F70" s="220">
        <f t="shared" si="36"/>
        <v>-5832.3</v>
      </c>
      <c r="G70" s="220">
        <f t="shared" si="36"/>
        <v>-7542</v>
      </c>
      <c r="H70" s="220">
        <f t="shared" si="36"/>
        <v>-2669.5</v>
      </c>
      <c r="I70" s="196"/>
      <c r="J70" s="196"/>
      <c r="K70" s="196"/>
      <c r="L70" s="196"/>
      <c r="M70" s="196"/>
      <c r="N70" s="196"/>
      <c r="O70" s="196"/>
    </row>
    <row r="71" spans="1:15" x14ac:dyDescent="0.25">
      <c r="A71" s="203"/>
      <c r="B71" s="194" t="s">
        <v>277</v>
      </c>
      <c r="C71" s="368"/>
      <c r="D71" s="221">
        <f ca="1">D69+D70</f>
        <v>-616.23000000000047</v>
      </c>
      <c r="E71" s="221">
        <f ca="1">E69+E70</f>
        <v>-834.3799999999992</v>
      </c>
      <c r="F71" s="221">
        <f t="shared" ref="F71:H71" ca="1" si="37">F69+F70</f>
        <v>-1166.46</v>
      </c>
      <c r="G71" s="221">
        <f t="shared" ca="1" si="37"/>
        <v>-1508.3999999999996</v>
      </c>
      <c r="H71" s="221">
        <f t="shared" ca="1" si="37"/>
        <v>-533.90000000000009</v>
      </c>
      <c r="I71" s="196"/>
      <c r="J71" s="196"/>
      <c r="K71" s="196"/>
      <c r="L71" s="196"/>
      <c r="M71" s="196"/>
      <c r="N71" s="196"/>
      <c r="O71" s="196"/>
    </row>
    <row r="72" spans="1:15" x14ac:dyDescent="0.25">
      <c r="B72" s="179"/>
      <c r="C72" s="369"/>
      <c r="D72" s="215"/>
      <c r="E72" s="215"/>
      <c r="F72" s="215"/>
      <c r="G72" s="215"/>
      <c r="H72" s="215"/>
      <c r="I72" s="196"/>
      <c r="J72" s="196"/>
      <c r="K72" s="196"/>
      <c r="L72" s="196"/>
      <c r="M72" s="196"/>
      <c r="N72" s="196"/>
      <c r="O72" s="196"/>
    </row>
    <row r="73" spans="1:15" x14ac:dyDescent="0.25">
      <c r="B73" s="204" t="s">
        <v>278</v>
      </c>
      <c r="C73" s="370"/>
      <c r="D73" s="365"/>
      <c r="E73" s="365"/>
      <c r="F73" s="365"/>
      <c r="G73" s="365"/>
      <c r="H73" s="365"/>
      <c r="I73" s="196"/>
      <c r="J73" s="196"/>
      <c r="K73" s="196"/>
      <c r="L73" s="196"/>
      <c r="M73" s="196"/>
      <c r="N73" s="196"/>
      <c r="O73" s="196"/>
    </row>
    <row r="74" spans="1:15" x14ac:dyDescent="0.25">
      <c r="B74" s="179" t="s">
        <v>272</v>
      </c>
      <c r="C74" s="222">
        <v>11300</v>
      </c>
      <c r="D74" s="222">
        <v>11300</v>
      </c>
      <c r="E74" s="222">
        <f>D74</f>
        <v>11300</v>
      </c>
      <c r="F74" s="222">
        <f t="shared" ref="F74:H74" si="38">E74</f>
        <v>11300</v>
      </c>
      <c r="G74" s="222">
        <f t="shared" si="38"/>
        <v>11300</v>
      </c>
      <c r="H74" s="222">
        <f t="shared" si="38"/>
        <v>11300</v>
      </c>
      <c r="I74" s="196"/>
      <c r="J74" s="196"/>
      <c r="K74" s="196"/>
      <c r="L74" s="196"/>
      <c r="M74" s="196"/>
      <c r="N74" s="196"/>
      <c r="O74" s="196"/>
    </row>
    <row r="75" spans="1:15" x14ac:dyDescent="0.25">
      <c r="B75" s="179" t="s">
        <v>273</v>
      </c>
      <c r="C75" s="223">
        <v>2672.8</v>
      </c>
      <c r="D75" s="223">
        <v>2672.8</v>
      </c>
      <c r="E75" s="223">
        <v>2672.8</v>
      </c>
      <c r="F75" s="223">
        <v>2672.8</v>
      </c>
      <c r="G75" s="223">
        <v>2672.8</v>
      </c>
      <c r="H75" s="223">
        <v>2672.8</v>
      </c>
      <c r="I75" s="196"/>
      <c r="J75" s="196"/>
      <c r="K75" s="196"/>
      <c r="L75" s="196"/>
      <c r="M75" s="196"/>
      <c r="N75" s="196"/>
      <c r="O75" s="196"/>
    </row>
    <row r="76" spans="1:15" x14ac:dyDescent="0.25">
      <c r="B76" s="179" t="s">
        <v>274</v>
      </c>
      <c r="C76" s="224">
        <v>2277.1999999999998</v>
      </c>
      <c r="D76" s="224">
        <v>2277.1999999999998</v>
      </c>
      <c r="E76" s="224">
        <v>2277.1999999999998</v>
      </c>
      <c r="F76" s="224">
        <v>2277.1999999999998</v>
      </c>
      <c r="G76" s="224">
        <v>2277.1999999999998</v>
      </c>
      <c r="H76" s="224">
        <v>2277.1999999999998</v>
      </c>
      <c r="I76" s="196"/>
      <c r="J76" s="371"/>
      <c r="K76" s="371"/>
      <c r="L76" s="371"/>
      <c r="M76" s="371"/>
      <c r="N76" s="371"/>
      <c r="O76" s="196"/>
    </row>
    <row r="77" spans="1:15" ht="15.4" customHeight="1" x14ac:dyDescent="0.25">
      <c r="B77" s="176" t="s">
        <v>334</v>
      </c>
      <c r="C77" s="224">
        <v>-266.89999999999998</v>
      </c>
      <c r="D77" s="224">
        <v>-266.89999999999998</v>
      </c>
      <c r="E77" s="224">
        <v>-266.89999999999998</v>
      </c>
      <c r="F77" s="224">
        <v>-266.89999999999998</v>
      </c>
      <c r="G77" s="224">
        <v>-266.89999999999998</v>
      </c>
      <c r="H77" s="224">
        <v>-266.89999999999998</v>
      </c>
      <c r="I77" s="196"/>
      <c r="J77" s="371"/>
      <c r="K77" s="371"/>
      <c r="L77" s="371"/>
      <c r="M77" s="371"/>
      <c r="N77" s="371"/>
      <c r="O77" s="196"/>
    </row>
    <row r="78" spans="1:15" x14ac:dyDescent="0.25">
      <c r="B78" s="177" t="s">
        <v>244</v>
      </c>
      <c r="C78" s="217">
        <f>SUM(C74:C77)</f>
        <v>15983.1</v>
      </c>
      <c r="D78" s="217">
        <f t="shared" ref="D78:H78" si="39">SUM(D74:D77)</f>
        <v>15983.1</v>
      </c>
      <c r="E78" s="217">
        <f t="shared" si="39"/>
        <v>15983.1</v>
      </c>
      <c r="F78" s="217">
        <f t="shared" si="39"/>
        <v>15983.1</v>
      </c>
      <c r="G78" s="217">
        <f t="shared" si="39"/>
        <v>15983.1</v>
      </c>
      <c r="H78" s="217">
        <f t="shared" si="39"/>
        <v>15983.1</v>
      </c>
      <c r="I78" s="196"/>
      <c r="J78" s="371"/>
      <c r="K78" s="371"/>
      <c r="L78" s="371"/>
      <c r="M78" s="371"/>
      <c r="N78" s="371"/>
      <c r="O78" s="196"/>
    </row>
    <row r="79" spans="1:15" x14ac:dyDescent="0.25">
      <c r="B79" s="178"/>
      <c r="C79" s="215"/>
      <c r="D79" s="225"/>
      <c r="E79" s="225"/>
      <c r="F79" s="225"/>
      <c r="G79" s="225"/>
      <c r="H79" s="225"/>
      <c r="I79" s="196"/>
      <c r="J79" s="196"/>
      <c r="K79" s="196"/>
      <c r="L79" s="196"/>
      <c r="M79" s="196"/>
      <c r="N79" s="196"/>
      <c r="O79" s="196"/>
    </row>
    <row r="80" spans="1:15" x14ac:dyDescent="0.25">
      <c r="B80" s="177" t="s">
        <v>245</v>
      </c>
      <c r="C80" s="217">
        <f t="shared" ref="C80:H80" si="40">C12+C18+C24+C30+C36+C43+C49+C55+C61+C67+C78</f>
        <v>46533</v>
      </c>
      <c r="D80" s="217">
        <f ca="1">D12+D18+D24+D30+D36+D43+D49+D55+D61+D67+D78</f>
        <v>45916.770000000004</v>
      </c>
      <c r="E80" s="217">
        <f ca="1">E12+E18+E24+E30+E36+E43+E49+E55+E61+E67+E78</f>
        <v>45082.39</v>
      </c>
      <c r="F80" s="217">
        <f t="shared" ca="1" si="40"/>
        <v>43915.93</v>
      </c>
      <c r="G80" s="217">
        <f t="shared" ca="1" si="40"/>
        <v>42407.53</v>
      </c>
      <c r="H80" s="217">
        <f t="shared" ca="1" si="40"/>
        <v>41873.629999999997</v>
      </c>
      <c r="I80" s="196"/>
      <c r="J80" s="196"/>
      <c r="K80" s="196"/>
      <c r="L80" s="196"/>
      <c r="M80" s="196"/>
      <c r="N80" s="196"/>
      <c r="O80" s="196"/>
    </row>
    <row r="81" spans="2:15" x14ac:dyDescent="0.25">
      <c r="B81" s="196"/>
      <c r="C81" s="222"/>
      <c r="D81" s="226"/>
      <c r="E81" s="226"/>
      <c r="F81" s="226"/>
      <c r="G81" s="226"/>
      <c r="H81" s="226"/>
      <c r="I81" s="196"/>
      <c r="J81" s="196"/>
      <c r="K81" s="196"/>
      <c r="L81" s="196"/>
      <c r="M81" s="196"/>
      <c r="N81" s="196"/>
      <c r="O81" s="196"/>
    </row>
    <row r="82" spans="2:15" x14ac:dyDescent="0.25">
      <c r="B82" s="204" t="s">
        <v>246</v>
      </c>
      <c r="C82" s="370"/>
      <c r="D82" s="365"/>
      <c r="E82" s="365"/>
      <c r="F82" s="365"/>
      <c r="G82" s="365"/>
      <c r="H82" s="365"/>
      <c r="I82" s="196"/>
      <c r="J82" s="196"/>
      <c r="K82" s="196"/>
      <c r="L82" s="196"/>
      <c r="M82" s="196"/>
      <c r="N82" s="196"/>
      <c r="O82" s="196"/>
    </row>
    <row r="83" spans="2:15" x14ac:dyDescent="0.25">
      <c r="B83" s="199" t="s">
        <v>247</v>
      </c>
      <c r="C83" s="372"/>
      <c r="D83" s="226"/>
      <c r="E83" s="226"/>
      <c r="F83" s="226"/>
      <c r="G83" s="226"/>
      <c r="H83" s="226"/>
      <c r="I83" s="196"/>
      <c r="J83" s="196"/>
      <c r="K83" s="196"/>
      <c r="L83" s="196"/>
      <c r="M83" s="196"/>
      <c r="N83" s="196"/>
      <c r="O83" s="196"/>
    </row>
    <row r="84" spans="2:15" x14ac:dyDescent="0.25">
      <c r="B84" s="205" t="s">
        <v>248</v>
      </c>
      <c r="C84" s="373"/>
      <c r="D84" s="222">
        <f>AER_Proj_CF!F28</f>
        <v>5170.9619999999995</v>
      </c>
      <c r="E84" s="222">
        <f ca="1">AER_Proj_CF!G28</f>
        <v>6022.8007909233802</v>
      </c>
      <c r="F84" s="222">
        <f ca="1">AER_Proj_CF!H28</f>
        <v>5323.8041750593011</v>
      </c>
      <c r="G84" s="222">
        <f ca="1">AER_Proj_CF!I28</f>
        <v>5567.6044212155393</v>
      </c>
      <c r="H84" s="222">
        <f ca="1">AER_Proj_CF!J28</f>
        <v>5954.1719322158497</v>
      </c>
      <c r="I84" s="196"/>
      <c r="J84" s="196"/>
      <c r="K84" s="196"/>
      <c r="L84" s="196"/>
      <c r="M84" s="196"/>
      <c r="N84" s="196"/>
      <c r="O84" s="196"/>
    </row>
    <row r="85" spans="2:15" x14ac:dyDescent="0.25">
      <c r="B85" s="205" t="s">
        <v>249</v>
      </c>
      <c r="C85" s="373"/>
      <c r="D85" s="222">
        <f>AER_Proj_CF!F36</f>
        <v>-2160.4989999999998</v>
      </c>
      <c r="E85" s="222">
        <f ca="1">AER_Proj_CF!G36</f>
        <v>-3901.7165246394529</v>
      </c>
      <c r="F85" s="222">
        <f ca="1">AER_Proj_CF!H36</f>
        <v>-4128.8700818838606</v>
      </c>
      <c r="G85" s="222">
        <f ca="1">AER_Proj_CF!I36</f>
        <v>-866.29297849485499</v>
      </c>
      <c r="H85" s="222">
        <f ca="1">AER_Proj_CF!J36</f>
        <v>-999.08996154297836</v>
      </c>
      <c r="I85" s="196"/>
      <c r="J85" s="196"/>
      <c r="K85" s="196"/>
      <c r="L85" s="196"/>
      <c r="M85" s="196"/>
      <c r="N85" s="196"/>
      <c r="O85" s="196"/>
    </row>
    <row r="86" spans="2:15" x14ac:dyDescent="0.25">
      <c r="B86" s="206" t="s">
        <v>250</v>
      </c>
      <c r="C86" s="374"/>
      <c r="D86" s="223">
        <f>AER_Proj_CF!F48</f>
        <v>-3160.8149999999996</v>
      </c>
      <c r="E86" s="223">
        <f ca="1">AER_Proj_CF!G48</f>
        <v>-1654.4856697312844</v>
      </c>
      <c r="F86" s="223">
        <f ca="1">AER_Proj_CF!H48</f>
        <v>-1231.3061788688069</v>
      </c>
      <c r="G86" s="223">
        <f ca="1">AER_Proj_CF!I48</f>
        <v>-1488.9592767376269</v>
      </c>
      <c r="H86" s="223">
        <f ca="1">AER_Proj_CF!J48</f>
        <v>-1762.1901683746678</v>
      </c>
      <c r="I86" s="196"/>
      <c r="J86" s="196"/>
      <c r="K86" s="196"/>
      <c r="L86" s="196"/>
      <c r="M86" s="196"/>
      <c r="N86" s="196"/>
      <c r="O86" s="196"/>
    </row>
    <row r="87" spans="2:15" x14ac:dyDescent="0.25">
      <c r="B87" s="197" t="s">
        <v>251</v>
      </c>
      <c r="C87" s="375"/>
      <c r="D87" s="223">
        <f ca="1">AER_Equity!G7</f>
        <v>-8.0759565775999995</v>
      </c>
      <c r="E87" s="223">
        <f ca="1">AER_Equity!H7</f>
        <v>-8.5172878416226805</v>
      </c>
      <c r="F87" s="223">
        <f ca="1">AER_Equity!I7</f>
        <v>-8.7763063965826813</v>
      </c>
      <c r="G87" s="223">
        <f ca="1">AER_Equity!J7</f>
        <v>-9.0767782303216809</v>
      </c>
      <c r="H87" s="223">
        <f ca="1">AER_Equity!K7</f>
        <v>-9.4150755365724308</v>
      </c>
      <c r="I87" s="196"/>
      <c r="J87" s="196"/>
      <c r="K87" s="196"/>
      <c r="L87" s="196"/>
      <c r="M87" s="196"/>
      <c r="N87" s="196"/>
      <c r="O87" s="196"/>
    </row>
    <row r="88" spans="2:15" x14ac:dyDescent="0.25">
      <c r="B88" s="197" t="s">
        <v>252</v>
      </c>
      <c r="C88" s="375"/>
      <c r="D88" s="223">
        <f ca="1">D69</f>
        <v>5546.07</v>
      </c>
      <c r="E88" s="223">
        <f t="shared" ref="E88:H88" ca="1" si="41">E69</f>
        <v>7509.42</v>
      </c>
      <c r="F88" s="223">
        <f t="shared" ca="1" si="41"/>
        <v>4665.84</v>
      </c>
      <c r="G88" s="223">
        <f t="shared" ca="1" si="41"/>
        <v>6033.6</v>
      </c>
      <c r="H88" s="223">
        <f t="shared" ca="1" si="41"/>
        <v>2135.6</v>
      </c>
      <c r="I88" s="196"/>
      <c r="J88" s="196"/>
      <c r="K88" s="196"/>
      <c r="L88" s="196"/>
      <c r="M88" s="196"/>
      <c r="N88" s="196"/>
      <c r="O88" s="196"/>
    </row>
    <row r="89" spans="2:15" x14ac:dyDescent="0.25">
      <c r="B89" s="197" t="s">
        <v>253</v>
      </c>
      <c r="C89" s="375"/>
      <c r="D89" s="223">
        <f>D70</f>
        <v>-6162.3</v>
      </c>
      <c r="E89" s="223">
        <f t="shared" ref="E89:H89" si="42">E70</f>
        <v>-8343.7999999999993</v>
      </c>
      <c r="F89" s="223">
        <f t="shared" si="42"/>
        <v>-5832.3</v>
      </c>
      <c r="G89" s="223">
        <f t="shared" si="42"/>
        <v>-7542</v>
      </c>
      <c r="H89" s="223">
        <f t="shared" si="42"/>
        <v>-2669.5</v>
      </c>
      <c r="I89" s="196"/>
      <c r="J89" s="196"/>
      <c r="K89" s="196"/>
      <c r="L89" s="196"/>
      <c r="M89" s="196"/>
      <c r="N89" s="196"/>
      <c r="O89" s="196"/>
    </row>
    <row r="90" spans="2:15" x14ac:dyDescent="0.25">
      <c r="B90" s="197" t="s">
        <v>254</v>
      </c>
      <c r="C90" s="375"/>
      <c r="D90" s="227">
        <v>0</v>
      </c>
      <c r="E90" s="227">
        <v>0</v>
      </c>
      <c r="F90" s="227">
        <v>0</v>
      </c>
      <c r="G90" s="227">
        <v>0</v>
      </c>
      <c r="H90" s="227">
        <v>0</v>
      </c>
      <c r="I90" s="196"/>
      <c r="J90" s="196"/>
      <c r="K90" s="196"/>
      <c r="L90" s="196"/>
      <c r="M90" s="196"/>
      <c r="N90" s="196"/>
      <c r="O90" s="196"/>
    </row>
    <row r="91" spans="2:15" x14ac:dyDescent="0.25">
      <c r="B91" s="197" t="s">
        <v>255</v>
      </c>
      <c r="C91" s="375"/>
      <c r="D91" s="230">
        <f ca="1">AER_Assumptions!H64</f>
        <v>1254.7515365000002</v>
      </c>
      <c r="E91" s="230">
        <f ca="1">AER_Assumptions!I64</f>
        <v>627.37576825000008</v>
      </c>
      <c r="F91" s="230">
        <f ca="1">AER_Assumptions!J64</f>
        <v>564.63819142500006</v>
      </c>
      <c r="G91" s="230">
        <f ca="1">AER_Assumptions!K64</f>
        <v>508.17437228250009</v>
      </c>
      <c r="H91" s="230">
        <f ca="1">AER_Assumptions!L64</f>
        <v>457.35693505425007</v>
      </c>
      <c r="I91" s="196"/>
      <c r="J91" s="196"/>
      <c r="K91" s="196"/>
      <c r="L91" s="196"/>
      <c r="M91" s="196"/>
      <c r="N91" s="196"/>
      <c r="O91" s="196"/>
    </row>
    <row r="92" spans="2:15" x14ac:dyDescent="0.25">
      <c r="B92" s="212" t="s">
        <v>256</v>
      </c>
      <c r="C92" s="376"/>
      <c r="D92" s="357">
        <v>0</v>
      </c>
      <c r="E92" s="357">
        <v>0</v>
      </c>
      <c r="F92" s="357">
        <v>0</v>
      </c>
      <c r="G92" s="357">
        <v>0</v>
      </c>
      <c r="H92" s="357">
        <v>0</v>
      </c>
      <c r="I92" s="196"/>
      <c r="J92" s="196"/>
      <c r="K92" s="196"/>
      <c r="L92" s="196"/>
      <c r="M92" s="196"/>
      <c r="N92" s="196"/>
      <c r="O92" s="196"/>
    </row>
    <row r="93" spans="2:15" x14ac:dyDescent="0.25">
      <c r="B93" s="208" t="s">
        <v>257</v>
      </c>
      <c r="C93" s="377"/>
      <c r="D93" s="222">
        <f ca="1">SUM(D84:D92)</f>
        <v>480.09357992240007</v>
      </c>
      <c r="E93" s="222">
        <f t="shared" ref="E93:H93" ca="1" si="43">SUM(E84:E92)</f>
        <v>251.07707696102091</v>
      </c>
      <c r="F93" s="222">
        <f t="shared" ca="1" si="43"/>
        <v>-646.97020066494906</v>
      </c>
      <c r="G93" s="222">
        <f t="shared" ca="1" si="43"/>
        <v>2203.049760035236</v>
      </c>
      <c r="H93" s="222">
        <f t="shared" ca="1" si="43"/>
        <v>3106.9336618158823</v>
      </c>
      <c r="I93" s="196"/>
      <c r="J93" s="196"/>
      <c r="K93" s="196"/>
      <c r="L93" s="196"/>
      <c r="M93" s="196"/>
      <c r="N93" s="196"/>
      <c r="O93" s="196"/>
    </row>
    <row r="94" spans="2:15" x14ac:dyDescent="0.25">
      <c r="B94" s="198"/>
      <c r="C94" s="378"/>
      <c r="D94" s="222"/>
      <c r="E94" s="222"/>
      <c r="F94" s="222"/>
      <c r="G94" s="222"/>
      <c r="H94" s="222"/>
      <c r="I94" s="196"/>
      <c r="J94" s="196"/>
      <c r="K94" s="196"/>
      <c r="L94" s="196"/>
      <c r="M94" s="196"/>
      <c r="N94" s="196"/>
      <c r="O94" s="196"/>
    </row>
    <row r="95" spans="2:15" x14ac:dyDescent="0.25">
      <c r="B95" s="208" t="s">
        <v>258</v>
      </c>
      <c r="C95" s="377"/>
      <c r="D95" s="222"/>
      <c r="E95" s="222"/>
      <c r="F95" s="222"/>
      <c r="G95" s="222"/>
      <c r="H95" s="222"/>
      <c r="I95" s="196"/>
      <c r="J95" s="196"/>
      <c r="K95" s="196"/>
      <c r="L95" s="196"/>
      <c r="M95" s="196"/>
      <c r="N95" s="196"/>
      <c r="O95" s="196"/>
    </row>
    <row r="96" spans="2:15" x14ac:dyDescent="0.25">
      <c r="B96" s="207" t="s">
        <v>272</v>
      </c>
      <c r="C96" s="228">
        <f>C12+C18+C24+C30+C36+C74</f>
        <v>34710.5</v>
      </c>
      <c r="D96" s="228">
        <f ca="1">D12+D18+D24+D30+D36+D74</f>
        <v>34283.9</v>
      </c>
      <c r="E96" s="228">
        <f ca="1">E12+E18+E24+E30+E36+E74</f>
        <v>33558.9</v>
      </c>
      <c r="F96" s="228">
        <f t="shared" ref="F96:H96" ca="1" si="44">F12+F18+F24+F30+F36+F74</f>
        <v>32828.9</v>
      </c>
      <c r="G96" s="228">
        <f t="shared" ca="1" si="44"/>
        <v>31500</v>
      </c>
      <c r="H96" s="228">
        <f t="shared" ca="1" si="44"/>
        <v>31180</v>
      </c>
      <c r="I96" s="196"/>
      <c r="J96" s="196"/>
      <c r="K96" s="196"/>
      <c r="L96" s="196"/>
      <c r="M96" s="196"/>
      <c r="N96" s="196"/>
      <c r="O96" s="196"/>
    </row>
    <row r="97" spans="2:15" x14ac:dyDescent="0.25">
      <c r="B97" s="209" t="s">
        <v>273</v>
      </c>
      <c r="C97" s="229">
        <f>C43+C49+C55+C61+C67+C75</f>
        <v>9812.2000000000007</v>
      </c>
      <c r="D97" s="229">
        <f t="shared" ref="D97:H97" ca="1" si="45">D43+D49+D55+D61+D67+D75</f>
        <v>9622.57</v>
      </c>
      <c r="E97" s="229">
        <f t="shared" ca="1" si="45"/>
        <v>9513.19</v>
      </c>
      <c r="F97" s="229">
        <f t="shared" ca="1" si="45"/>
        <v>9076.73</v>
      </c>
      <c r="G97" s="229">
        <f t="shared" ca="1" si="45"/>
        <v>8897.23</v>
      </c>
      <c r="H97" s="229">
        <f t="shared" ca="1" si="45"/>
        <v>8683.3300000000017</v>
      </c>
      <c r="I97" s="196"/>
      <c r="J97" s="196"/>
      <c r="K97" s="196"/>
      <c r="L97" s="196"/>
      <c r="M97" s="196"/>
      <c r="N97" s="196"/>
      <c r="O97" s="196"/>
    </row>
    <row r="98" spans="2:15" x14ac:dyDescent="0.25">
      <c r="B98" s="195" t="s">
        <v>274</v>
      </c>
      <c r="C98" s="230">
        <f>C76</f>
        <v>2277.1999999999998</v>
      </c>
      <c r="D98" s="230">
        <f t="shared" ref="D98:H98" si="46">D76</f>
        <v>2277.1999999999998</v>
      </c>
      <c r="E98" s="230">
        <f t="shared" si="46"/>
        <v>2277.1999999999998</v>
      </c>
      <c r="F98" s="230">
        <f t="shared" si="46"/>
        <v>2277.1999999999998</v>
      </c>
      <c r="G98" s="230">
        <f t="shared" si="46"/>
        <v>2277.1999999999998</v>
      </c>
      <c r="H98" s="230">
        <f t="shared" si="46"/>
        <v>2277.1999999999998</v>
      </c>
      <c r="I98" s="196"/>
      <c r="J98" s="196"/>
      <c r="K98" s="196"/>
      <c r="L98" s="196"/>
      <c r="M98" s="196"/>
      <c r="N98" s="196"/>
      <c r="O98" s="196"/>
    </row>
    <row r="99" spans="2:15" x14ac:dyDescent="0.25">
      <c r="B99" s="199"/>
      <c r="C99" s="372"/>
      <c r="D99" s="222"/>
      <c r="E99" s="222"/>
      <c r="F99" s="222"/>
      <c r="G99" s="222"/>
      <c r="H99" s="222"/>
      <c r="I99" s="196"/>
      <c r="J99" s="196"/>
      <c r="K99" s="196"/>
      <c r="L99" s="196"/>
      <c r="M99" s="196"/>
      <c r="N99" s="196"/>
      <c r="O99" s="196"/>
    </row>
    <row r="100" spans="2:15" x14ac:dyDescent="0.25">
      <c r="B100" s="210" t="s">
        <v>259</v>
      </c>
      <c r="C100" s="372"/>
      <c r="D100" s="222"/>
      <c r="E100" s="222"/>
      <c r="F100" s="222"/>
      <c r="G100" s="222"/>
      <c r="H100" s="222"/>
      <c r="I100" s="196"/>
      <c r="J100" s="196"/>
      <c r="K100" s="196"/>
      <c r="L100" s="196"/>
      <c r="M100" s="196"/>
      <c r="N100" s="196"/>
      <c r="O100" s="196"/>
    </row>
    <row r="101" spans="2:15" x14ac:dyDescent="0.25">
      <c r="B101" s="196" t="s">
        <v>272</v>
      </c>
      <c r="C101" s="232">
        <v>3.1899999999999998E-2</v>
      </c>
      <c r="D101" s="232">
        <f>C101+0.005</f>
        <v>3.6899999999999995E-2</v>
      </c>
      <c r="E101" s="232">
        <f>D101+0.005</f>
        <v>4.1899999999999993E-2</v>
      </c>
      <c r="F101" s="232">
        <f t="shared" ref="F101:H101" si="47">E101</f>
        <v>4.1899999999999993E-2</v>
      </c>
      <c r="G101" s="232">
        <f t="shared" si="47"/>
        <v>4.1899999999999993E-2</v>
      </c>
      <c r="H101" s="232">
        <f t="shared" si="47"/>
        <v>4.1899999999999993E-2</v>
      </c>
      <c r="I101" s="196"/>
      <c r="J101" s="379"/>
      <c r="K101" s="196"/>
      <c r="L101" s="196"/>
      <c r="M101" s="196"/>
      <c r="N101" s="196"/>
      <c r="O101" s="196"/>
    </row>
    <row r="102" spans="2:15" x14ac:dyDescent="0.25">
      <c r="B102" s="196" t="s">
        <v>273</v>
      </c>
      <c r="C102" s="232">
        <v>5.1499999999999997E-2</v>
      </c>
      <c r="D102" s="232">
        <f>C102+0.005</f>
        <v>5.6499999999999995E-2</v>
      </c>
      <c r="E102" s="232">
        <f>D102+0.005</f>
        <v>6.1499999999999992E-2</v>
      </c>
      <c r="F102" s="232">
        <f t="shared" ref="F102:H102" si="48">E102</f>
        <v>6.1499999999999992E-2</v>
      </c>
      <c r="G102" s="232">
        <f t="shared" si="48"/>
        <v>6.1499999999999992E-2</v>
      </c>
      <c r="H102" s="232">
        <f t="shared" si="48"/>
        <v>6.1499999999999992E-2</v>
      </c>
      <c r="I102" s="196"/>
      <c r="J102" s="196"/>
      <c r="K102" s="196"/>
      <c r="L102" s="196"/>
      <c r="M102" s="196"/>
      <c r="N102" s="196"/>
      <c r="O102" s="196"/>
    </row>
    <row r="103" spans="2:15" x14ac:dyDescent="0.25">
      <c r="B103" s="196" t="s">
        <v>274</v>
      </c>
      <c r="C103" s="232">
        <v>6.2399999999999997E-2</v>
      </c>
      <c r="D103" s="232">
        <f>C103+0.005</f>
        <v>6.7400000000000002E-2</v>
      </c>
      <c r="E103" s="232">
        <f>D103+0.005</f>
        <v>7.2400000000000006E-2</v>
      </c>
      <c r="F103" s="232">
        <f t="shared" ref="F103:H103" si="49">E103</f>
        <v>7.2400000000000006E-2</v>
      </c>
      <c r="G103" s="232">
        <f t="shared" si="49"/>
        <v>7.2400000000000006E-2</v>
      </c>
      <c r="H103" s="232">
        <f t="shared" si="49"/>
        <v>7.2400000000000006E-2</v>
      </c>
      <c r="I103" s="196"/>
      <c r="J103" s="196"/>
      <c r="K103" s="196"/>
      <c r="L103" s="196"/>
      <c r="M103" s="196"/>
      <c r="N103" s="196"/>
      <c r="O103" s="196"/>
    </row>
    <row r="104" spans="2:15" x14ac:dyDescent="0.25">
      <c r="B104" s="199"/>
      <c r="C104" s="372"/>
      <c r="D104" s="222"/>
      <c r="E104" s="222"/>
      <c r="F104" s="222"/>
      <c r="G104" s="222"/>
      <c r="H104" s="222"/>
      <c r="I104" s="196"/>
      <c r="J104" s="196"/>
      <c r="K104" s="196"/>
      <c r="L104" s="196"/>
      <c r="M104" s="196"/>
      <c r="N104" s="196"/>
      <c r="O104" s="196"/>
    </row>
    <row r="105" spans="2:15" x14ac:dyDescent="0.25">
      <c r="B105" s="199" t="s">
        <v>260</v>
      </c>
      <c r="C105" s="372"/>
      <c r="D105" s="222"/>
      <c r="E105" s="222"/>
      <c r="F105" s="222"/>
      <c r="G105" s="222"/>
      <c r="H105" s="222"/>
      <c r="I105" s="196"/>
      <c r="J105" s="196"/>
      <c r="K105" s="196"/>
      <c r="L105" s="196"/>
      <c r="M105" s="196"/>
      <c r="N105" s="196"/>
      <c r="O105" s="196"/>
    </row>
    <row r="106" spans="2:15" x14ac:dyDescent="0.25">
      <c r="B106" s="196" t="s">
        <v>272</v>
      </c>
      <c r="C106" s="222">
        <f>C96*C101</f>
        <v>1107.26495</v>
      </c>
      <c r="D106" s="222">
        <f t="shared" ref="D106:H106" ca="1" si="50">D96*D101</f>
        <v>1265.0759099999998</v>
      </c>
      <c r="E106" s="222">
        <f t="shared" ca="1" si="50"/>
        <v>1406.1179099999997</v>
      </c>
      <c r="F106" s="222">
        <f t="shared" ca="1" si="50"/>
        <v>1375.5309099999997</v>
      </c>
      <c r="G106" s="222">
        <f t="shared" ca="1" si="50"/>
        <v>1319.8499999999997</v>
      </c>
      <c r="H106" s="222">
        <f t="shared" ca="1" si="50"/>
        <v>1306.4419999999998</v>
      </c>
      <c r="I106" s="196"/>
      <c r="J106" s="196"/>
      <c r="K106" s="196"/>
      <c r="L106" s="196"/>
      <c r="M106" s="196"/>
      <c r="N106" s="196"/>
      <c r="O106" s="196"/>
    </row>
    <row r="107" spans="2:15" x14ac:dyDescent="0.25">
      <c r="B107" s="196" t="s">
        <v>273</v>
      </c>
      <c r="C107" s="222">
        <f>C97*C102</f>
        <v>505.32830000000001</v>
      </c>
      <c r="D107" s="222">
        <f t="shared" ref="D107:H107" ca="1" si="51">D97*D102</f>
        <v>543.67520499999989</v>
      </c>
      <c r="E107" s="222">
        <f t="shared" ca="1" si="51"/>
        <v>585.06118499999991</v>
      </c>
      <c r="F107" s="222">
        <f t="shared" ca="1" si="51"/>
        <v>558.21889499999986</v>
      </c>
      <c r="G107" s="222">
        <f t="shared" ca="1" si="51"/>
        <v>547.17964499999994</v>
      </c>
      <c r="H107" s="222">
        <f t="shared" ca="1" si="51"/>
        <v>534.02479500000004</v>
      </c>
      <c r="I107" s="196"/>
      <c r="J107" s="196"/>
      <c r="K107" s="196"/>
      <c r="L107" s="196"/>
      <c r="M107" s="196"/>
      <c r="N107" s="196"/>
      <c r="O107" s="196"/>
    </row>
    <row r="108" spans="2:15" x14ac:dyDescent="0.25">
      <c r="B108" s="196" t="s">
        <v>274</v>
      </c>
      <c r="C108" s="222">
        <f t="shared" ref="C108:H108" si="52">C98*C103</f>
        <v>142.09727999999998</v>
      </c>
      <c r="D108" s="222">
        <f t="shared" si="52"/>
        <v>153.48327999999998</v>
      </c>
      <c r="E108" s="222">
        <f t="shared" si="52"/>
        <v>164.86928</v>
      </c>
      <c r="F108" s="222">
        <f t="shared" si="52"/>
        <v>164.86928</v>
      </c>
      <c r="G108" s="222">
        <f t="shared" si="52"/>
        <v>164.86928</v>
      </c>
      <c r="H108" s="222">
        <f t="shared" si="52"/>
        <v>164.86928</v>
      </c>
      <c r="I108" s="196"/>
      <c r="J108" s="196"/>
      <c r="K108" s="196"/>
      <c r="L108" s="196"/>
      <c r="M108" s="196"/>
      <c r="N108" s="196"/>
      <c r="O108" s="196"/>
    </row>
    <row r="109" spans="2:15" x14ac:dyDescent="0.25">
      <c r="B109" s="199"/>
      <c r="C109" s="372"/>
      <c r="D109" s="222"/>
      <c r="E109" s="222"/>
      <c r="F109" s="222"/>
      <c r="G109" s="222"/>
      <c r="H109" s="222"/>
      <c r="I109" s="196"/>
      <c r="J109" s="196"/>
      <c r="K109" s="196"/>
      <c r="L109" s="196"/>
      <c r="M109" s="196"/>
      <c r="N109" s="196"/>
      <c r="O109" s="196"/>
    </row>
    <row r="110" spans="2:15" ht="16.5" thickBot="1" x14ac:dyDescent="0.3">
      <c r="B110" s="213" t="s">
        <v>261</v>
      </c>
      <c r="C110" s="231">
        <f>SUM(C106:C108)</f>
        <v>1754.6905299999999</v>
      </c>
      <c r="D110" s="231">
        <f t="shared" ref="D110:H110" ca="1" si="53">SUM(D106:D108)</f>
        <v>1962.2343949999995</v>
      </c>
      <c r="E110" s="231">
        <f t="shared" ca="1" si="53"/>
        <v>2156.0483749999994</v>
      </c>
      <c r="F110" s="231">
        <f t="shared" ca="1" si="53"/>
        <v>2098.6190849999994</v>
      </c>
      <c r="G110" s="231">
        <f t="shared" ca="1" si="53"/>
        <v>2031.8989249999995</v>
      </c>
      <c r="H110" s="231">
        <f t="shared" ca="1" si="53"/>
        <v>2005.3360749999997</v>
      </c>
      <c r="I110" s="196"/>
      <c r="J110" s="196"/>
      <c r="K110" s="196"/>
      <c r="L110" s="196"/>
      <c r="M110" s="196"/>
      <c r="N110" s="196"/>
      <c r="O110" s="196"/>
    </row>
    <row r="111" spans="2:15" ht="16.5" thickTop="1" x14ac:dyDescent="0.25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2:15" x14ac:dyDescent="0.25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</row>
    <row r="113" spans="2:15" x14ac:dyDescent="0.25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</row>
    <row r="114" spans="2:15" x14ac:dyDescent="0.25">
      <c r="B114" s="200"/>
      <c r="C114" s="200"/>
      <c r="D114" s="196"/>
      <c r="E114" s="196"/>
      <c r="F114" s="196"/>
      <c r="G114" s="196"/>
      <c r="H114" s="196"/>
    </row>
    <row r="115" spans="2:15" x14ac:dyDescent="0.25">
      <c r="B115" s="196"/>
      <c r="C115" s="196"/>
      <c r="D115" s="196"/>
      <c r="E115" s="196"/>
      <c r="F115" s="196"/>
      <c r="G115" s="196"/>
      <c r="H115" s="196"/>
    </row>
    <row r="116" spans="2:15" x14ac:dyDescent="0.25">
      <c r="B116" s="196"/>
      <c r="C116" s="196"/>
      <c r="D116" s="196"/>
      <c r="E116" s="196"/>
      <c r="F116" s="196"/>
      <c r="G116" s="196"/>
      <c r="H116" s="196"/>
    </row>
  </sheetData>
  <mergeCells count="1">
    <mergeCell ref="J76:N78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F4600-8DCF-43E9-AE97-AB11D94E3661}">
  <dimension ref="B2:K12"/>
  <sheetViews>
    <sheetView showGridLines="0" workbookViewId="0">
      <selection sqref="A1:L13"/>
    </sheetView>
  </sheetViews>
  <sheetFormatPr defaultRowHeight="15" x14ac:dyDescent="0.25"/>
  <cols>
    <col min="6" max="6" width="14" bestFit="1" customWidth="1"/>
    <col min="7" max="7" width="11.5703125" bestFit="1" customWidth="1"/>
    <col min="8" max="8" width="13.140625" customWidth="1"/>
    <col min="9" max="9" width="12.140625" customWidth="1"/>
    <col min="10" max="10" width="11.85546875" customWidth="1"/>
    <col min="11" max="11" width="12.85546875" customWidth="1"/>
  </cols>
  <sheetData>
    <row r="2" spans="2:11" ht="15.75" x14ac:dyDescent="0.25">
      <c r="B2" s="157" t="s">
        <v>233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5.75" x14ac:dyDescent="0.25">
      <c r="B3" s="158" t="s">
        <v>234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5.75" x14ac:dyDescent="0.25">
      <c r="B4" s="152"/>
      <c r="F4" s="159" t="s">
        <v>6</v>
      </c>
      <c r="G4" s="160" t="s">
        <v>35</v>
      </c>
      <c r="H4" s="160" t="s">
        <v>36</v>
      </c>
      <c r="I4" s="160" t="s">
        <v>37</v>
      </c>
      <c r="J4" s="160" t="s">
        <v>38</v>
      </c>
      <c r="K4" s="160" t="s">
        <v>39</v>
      </c>
    </row>
    <row r="5" spans="2:11" ht="15.75" x14ac:dyDescent="0.25">
      <c r="B5" s="152" t="s">
        <v>235</v>
      </c>
      <c r="F5" s="161"/>
      <c r="G5" s="162">
        <f>F8</f>
        <v>7674.9219999999996</v>
      </c>
      <c r="H5" s="162">
        <f t="shared" ref="H5:K5" ca="1" si="0">G8</f>
        <v>10930.327209157398</v>
      </c>
      <c r="I5" s="162">
        <f t="shared" ca="1" si="0"/>
        <v>13423.800236714735</v>
      </c>
      <c r="J5" s="162">
        <f t="shared" ca="1" si="0"/>
        <v>16064.169577334373</v>
      </c>
      <c r="K5" s="162">
        <f t="shared" ca="1" si="0"/>
        <v>18898.903084953505</v>
      </c>
    </row>
    <row r="6" spans="2:11" ht="15.75" x14ac:dyDescent="0.25">
      <c r="B6" s="152" t="s">
        <v>236</v>
      </c>
      <c r="C6" s="152"/>
      <c r="D6" s="152"/>
      <c r="E6" s="152"/>
      <c r="F6" s="163"/>
      <c r="G6" s="164">
        <f ca="1">AER_IS!I34</f>
        <v>3263.4811657349992</v>
      </c>
      <c r="H6" s="164">
        <f ca="1">AER_IS!J34</f>
        <v>2501.990315398959</v>
      </c>
      <c r="I6" s="164">
        <f ca="1">AER_IS!K34</f>
        <v>2649.1456470162207</v>
      </c>
      <c r="J6" s="164">
        <f ca="1">AER_IS!L34</f>
        <v>2843.810285849454</v>
      </c>
      <c r="K6" s="164">
        <f ca="1">AER_IS!M34</f>
        <v>3025.5369582906587</v>
      </c>
    </row>
    <row r="7" spans="2:11" ht="15.75" x14ac:dyDescent="0.25">
      <c r="B7" s="152" t="s">
        <v>237</v>
      </c>
      <c r="C7" s="152"/>
      <c r="D7" s="152"/>
      <c r="E7" s="152"/>
      <c r="F7" s="164">
        <f>AER_Assumptions!G88</f>
        <v>3.9569999999999999</v>
      </c>
      <c r="G7" s="164">
        <f ca="1">-AER_Assumptions!H88</f>
        <v>-8.0759565775999995</v>
      </c>
      <c r="H7" s="164">
        <f ca="1">-AER_Assumptions!I88</f>
        <v>-8.5172878416226805</v>
      </c>
      <c r="I7" s="164">
        <f ca="1">-AER_Assumptions!J88</f>
        <v>-8.7763063965826813</v>
      </c>
      <c r="J7" s="164">
        <f ca="1">-AER_Assumptions!K88</f>
        <v>-9.0767782303216809</v>
      </c>
      <c r="K7" s="164">
        <f ca="1">-AER_Assumptions!L88</f>
        <v>-9.4150755365724308</v>
      </c>
    </row>
    <row r="8" spans="2:11" ht="15.75" x14ac:dyDescent="0.25">
      <c r="B8" s="165" t="s">
        <v>238</v>
      </c>
      <c r="C8" s="166"/>
      <c r="D8" s="166"/>
      <c r="E8" s="166"/>
      <c r="F8" s="167">
        <f>AER_BS!H38</f>
        <v>7674.9219999999996</v>
      </c>
      <c r="G8" s="168">
        <f ca="1">SUM(G5:G7)</f>
        <v>10930.327209157398</v>
      </c>
      <c r="H8" s="168">
        <f t="shared" ref="H8:K8" ca="1" si="1">SUM(H5:H7)</f>
        <v>13423.800236714735</v>
      </c>
      <c r="I8" s="168">
        <f t="shared" ca="1" si="1"/>
        <v>16064.169577334373</v>
      </c>
      <c r="J8" s="168">
        <f t="shared" ca="1" si="1"/>
        <v>18898.903084953505</v>
      </c>
      <c r="K8" s="168">
        <f t="shared" ca="1" si="1"/>
        <v>21915.024967707588</v>
      </c>
    </row>
    <row r="9" spans="2:11" ht="15.75" x14ac:dyDescent="0.25">
      <c r="B9" s="152"/>
      <c r="C9" s="152"/>
      <c r="D9" s="152"/>
      <c r="E9" s="152"/>
      <c r="F9" s="169"/>
      <c r="G9" s="164"/>
      <c r="H9" s="164"/>
      <c r="I9" s="164"/>
      <c r="J9" s="164"/>
      <c r="K9" s="164"/>
    </row>
    <row r="10" spans="2:11" ht="15.75" x14ac:dyDescent="0.25">
      <c r="B10" s="152" t="s">
        <v>239</v>
      </c>
      <c r="C10" s="152"/>
      <c r="D10" s="152"/>
      <c r="E10" s="152"/>
      <c r="F10" s="163"/>
      <c r="G10" s="164">
        <f>F12</f>
        <v>254.69900000000001</v>
      </c>
      <c r="H10" s="164">
        <f t="shared" ref="H10:K10" ca="1" si="2">G12</f>
        <v>1509.4505365000002</v>
      </c>
      <c r="I10" s="164">
        <f t="shared" ca="1" si="2"/>
        <v>2136.8263047500004</v>
      </c>
      <c r="J10" s="164">
        <f t="shared" ca="1" si="2"/>
        <v>2701.4644961750005</v>
      </c>
      <c r="K10" s="164">
        <f t="shared" ca="1" si="2"/>
        <v>3209.6388684575004</v>
      </c>
    </row>
    <row r="11" spans="2:11" ht="15.75" x14ac:dyDescent="0.25">
      <c r="B11" s="152" t="s">
        <v>240</v>
      </c>
      <c r="C11" s="152"/>
      <c r="D11" s="152"/>
      <c r="E11" s="152"/>
      <c r="F11" s="163">
        <f>-AER_CF!H50</f>
        <v>17.419</v>
      </c>
      <c r="G11" s="164">
        <f ca="1">AER_Assumptions!H64</f>
        <v>1254.7515365000002</v>
      </c>
      <c r="H11" s="164">
        <f ca="1">AER_Assumptions!I64</f>
        <v>627.37576825000008</v>
      </c>
      <c r="I11" s="164">
        <f ca="1">AER_Assumptions!J64</f>
        <v>564.63819142500006</v>
      </c>
      <c r="J11" s="164">
        <f ca="1">AER_Assumptions!K64</f>
        <v>508.17437228250009</v>
      </c>
      <c r="K11" s="164">
        <f ca="1">AER_Assumptions!L64</f>
        <v>457.35693505425007</v>
      </c>
    </row>
    <row r="12" spans="2:11" ht="15.75" x14ac:dyDescent="0.25">
      <c r="B12" s="165" t="s">
        <v>241</v>
      </c>
      <c r="C12" s="166"/>
      <c r="D12" s="166"/>
      <c r="E12" s="166"/>
      <c r="F12" s="233">
        <f>-AER_BS!H36</f>
        <v>254.69900000000001</v>
      </c>
      <c r="G12" s="168">
        <f ca="1">SUM(G10:G11)</f>
        <v>1509.4505365000002</v>
      </c>
      <c r="H12" s="168">
        <f t="shared" ref="H12:K12" ca="1" si="3">SUM(H10:H11)</f>
        <v>2136.8263047500004</v>
      </c>
      <c r="I12" s="168">
        <f t="shared" ca="1" si="3"/>
        <v>2701.4644961750005</v>
      </c>
      <c r="J12" s="168">
        <f t="shared" ca="1" si="3"/>
        <v>3209.6388684575004</v>
      </c>
      <c r="K12" s="168">
        <f t="shared" ca="1" si="3"/>
        <v>3666.9958035117506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A450-6F7E-4462-B040-887C95252FDD}">
  <dimension ref="A1"/>
  <sheetViews>
    <sheetView view="pageBreakPreview" zoomScale="60" zoomScaleNormal="100" workbookViewId="0">
      <selection activeCell="J63" sqref="J6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D2EA-1518-4064-9E82-E48BA6CC5B95}">
  <dimension ref="C3:Q53"/>
  <sheetViews>
    <sheetView showGridLines="0" zoomScale="62" zoomScaleNormal="90" zoomScaleSheetLayoutView="90" workbookViewId="0">
      <selection activeCell="G48" sqref="G48"/>
    </sheetView>
  </sheetViews>
  <sheetFormatPr defaultRowHeight="15" x14ac:dyDescent="0.25"/>
  <cols>
    <col min="2" max="2" width="2.7109375" customWidth="1"/>
    <col min="3" max="3" width="63.140625" bestFit="1" customWidth="1"/>
    <col min="4" max="4" width="10.7109375" customWidth="1"/>
    <col min="5" max="5" width="14.7109375" customWidth="1"/>
    <col min="6" max="6" width="10.42578125" customWidth="1"/>
    <col min="7" max="7" width="10.5703125" bestFit="1" customWidth="1"/>
    <col min="8" max="8" width="10.140625" bestFit="1" customWidth="1"/>
    <col min="9" max="9" width="11.28515625" bestFit="1" customWidth="1"/>
    <col min="10" max="11" width="10.140625" bestFit="1" customWidth="1"/>
  </cols>
  <sheetData>
    <row r="3" spans="3:13" x14ac:dyDescent="0.25">
      <c r="C3" s="3"/>
      <c r="D3" s="338"/>
      <c r="E3" s="338"/>
      <c r="F3" s="338"/>
      <c r="G3" s="338"/>
      <c r="H3" s="338"/>
      <c r="I3" s="338"/>
      <c r="J3" s="338"/>
      <c r="K3" s="338"/>
    </row>
    <row r="4" spans="3:13" x14ac:dyDescent="0.25">
      <c r="C4" s="3"/>
      <c r="D4" s="3"/>
      <c r="E4" s="3"/>
      <c r="F4" s="3"/>
    </row>
    <row r="5" spans="3:13" x14ac:dyDescent="0.25">
      <c r="C5" s="64" t="s">
        <v>41</v>
      </c>
      <c r="D5" s="108"/>
      <c r="E5" s="108"/>
      <c r="F5" s="108"/>
      <c r="G5" s="108"/>
      <c r="H5" s="108"/>
      <c r="I5" s="108"/>
      <c r="J5" s="108"/>
      <c r="K5" s="108"/>
    </row>
    <row r="6" spans="3:13" x14ac:dyDescent="0.25">
      <c r="C6" s="3"/>
      <c r="D6" s="1" t="s">
        <v>4</v>
      </c>
      <c r="E6" s="1" t="s">
        <v>5</v>
      </c>
      <c r="F6" s="1" t="s">
        <v>6</v>
      </c>
      <c r="G6" s="1" t="s">
        <v>35</v>
      </c>
      <c r="H6" s="1" t="s">
        <v>36</v>
      </c>
      <c r="I6" s="1" t="s">
        <v>37</v>
      </c>
      <c r="J6" s="1" t="s">
        <v>38</v>
      </c>
      <c r="K6" s="1" t="s">
        <v>39</v>
      </c>
    </row>
    <row r="7" spans="3:13" x14ac:dyDescent="0.25">
      <c r="C7" s="234" t="s">
        <v>20</v>
      </c>
      <c r="D7" s="3"/>
      <c r="E7" s="3"/>
      <c r="F7" s="3"/>
      <c r="G7" s="26"/>
      <c r="H7" s="26"/>
      <c r="I7" s="26"/>
      <c r="J7" s="26"/>
      <c r="K7" s="26"/>
    </row>
    <row r="8" spans="3:13" x14ac:dyDescent="0.25">
      <c r="C8" s="8" t="s">
        <v>179</v>
      </c>
      <c r="D8" s="239">
        <v>-294.923</v>
      </c>
      <c r="E8" s="239">
        <v>1009.431</v>
      </c>
      <c r="F8" s="239">
        <v>-721.15800000000002</v>
      </c>
      <c r="G8" s="244">
        <f ca="1">AER_IS!I34</f>
        <v>3263.4811657349992</v>
      </c>
      <c r="H8" s="244">
        <f ca="1">AER_IS!J34</f>
        <v>2501.990315398959</v>
      </c>
      <c r="I8" s="244">
        <f ca="1">AER_IS!K34</f>
        <v>2649.1456470162207</v>
      </c>
      <c r="J8" s="244">
        <f ca="1">AER_IS!L34</f>
        <v>2843.810285849454</v>
      </c>
      <c r="K8" s="244">
        <f ca="1">AER_IS!M34</f>
        <v>3025.5369582906587</v>
      </c>
    </row>
    <row r="9" spans="3:13" x14ac:dyDescent="0.25">
      <c r="C9" s="10" t="s">
        <v>180</v>
      </c>
      <c r="D9" s="239">
        <v>1645.373</v>
      </c>
      <c r="E9" s="239">
        <v>1737.925</v>
      </c>
      <c r="F9" s="239">
        <v>2389.8069999999998</v>
      </c>
      <c r="G9" s="244">
        <f ca="1">AER_Assumptions!H33</f>
        <v>2456.9533800000004</v>
      </c>
      <c r="H9" s="244">
        <f ca="1">AER_Assumptions!I33</f>
        <v>2635.3281953880005</v>
      </c>
      <c r="I9" s="244">
        <f ca="1">AER_Assumptions!J33</f>
        <v>2767.0946051574006</v>
      </c>
      <c r="J9" s="244">
        <f ca="1">AER_Assumptions!K33</f>
        <v>2905.4493354152705</v>
      </c>
      <c r="K9" s="244">
        <f ca="1">AER_Assumptions!L33</f>
        <v>3050.721802186034</v>
      </c>
    </row>
    <row r="10" spans="3:13" x14ac:dyDescent="0.25">
      <c r="C10" s="10" t="s">
        <v>134</v>
      </c>
      <c r="D10" s="238" t="s">
        <v>152</v>
      </c>
      <c r="E10" s="238" t="s">
        <v>152</v>
      </c>
      <c r="F10" s="239">
        <v>2922.35</v>
      </c>
      <c r="G10" s="235" t="s">
        <v>152</v>
      </c>
      <c r="H10" s="235" t="s">
        <v>152</v>
      </c>
      <c r="I10" s="235" t="s">
        <v>152</v>
      </c>
      <c r="J10" s="235" t="s">
        <v>152</v>
      </c>
      <c r="K10" s="235" t="s">
        <v>152</v>
      </c>
    </row>
    <row r="11" spans="3:13" x14ac:dyDescent="0.25">
      <c r="C11" s="10" t="s">
        <v>135</v>
      </c>
      <c r="D11" s="239">
        <v>1086.9829999999999</v>
      </c>
      <c r="E11" s="239">
        <v>128.40899999999999</v>
      </c>
      <c r="F11" s="239">
        <v>96.590999999999994</v>
      </c>
      <c r="G11" s="244">
        <f ca="1">AER_IS!I20</f>
        <v>61.200057599999994</v>
      </c>
      <c r="H11" s="244">
        <f ca="1">AER_IS!J20</f>
        <v>77.987233399679994</v>
      </c>
      <c r="I11" s="244">
        <f ca="1">AER_IS!K20</f>
        <v>79.546978067673592</v>
      </c>
      <c r="J11" s="244">
        <f ca="1">AER_IS!L20</f>
        <v>81.137917629027072</v>
      </c>
      <c r="K11" s="244">
        <f ca="1">AER_IS!M20</f>
        <v>82.760675981607619</v>
      </c>
    </row>
    <row r="12" spans="3:13" x14ac:dyDescent="0.25">
      <c r="C12" s="10" t="s">
        <v>181</v>
      </c>
      <c r="D12" s="239">
        <v>64.97</v>
      </c>
      <c r="E12" s="239">
        <v>113.98099999999999</v>
      </c>
      <c r="F12" s="239">
        <v>338.03199999999998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M12" t="s">
        <v>308</v>
      </c>
    </row>
    <row r="13" spans="3:13" x14ac:dyDescent="0.25">
      <c r="C13" s="10" t="s">
        <v>182</v>
      </c>
      <c r="D13" s="239">
        <v>-47.279000000000003</v>
      </c>
      <c r="E13" s="239">
        <v>-16.977</v>
      </c>
      <c r="F13" s="239">
        <v>-4.79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</row>
    <row r="14" spans="3:13" x14ac:dyDescent="0.25">
      <c r="C14" s="10" t="s">
        <v>183</v>
      </c>
      <c r="D14" s="239">
        <v>133.01499999999999</v>
      </c>
      <c r="E14" s="239">
        <v>138.78</v>
      </c>
      <c r="F14" s="239">
        <v>389.85199999999998</v>
      </c>
      <c r="G14" s="244">
        <f ca="1">AER_Assumptions!H118</f>
        <v>300.61482683038707</v>
      </c>
      <c r="H14" s="244">
        <f ca="1">AER_Assumptions!I118</f>
        <v>319.88423723021492</v>
      </c>
      <c r="I14" s="244">
        <f ca="1">AER_Assumptions!J118</f>
        <v>335.87844909172566</v>
      </c>
      <c r="J14" s="244">
        <f ca="1">AER_Assumptions!K118</f>
        <v>352.67237154631198</v>
      </c>
      <c r="K14" s="244">
        <f ca="1">AER_Assumptions!L118</f>
        <v>370.30599012362762</v>
      </c>
    </row>
    <row r="15" spans="3:13" x14ac:dyDescent="0.25">
      <c r="C15" s="10" t="s">
        <v>184</v>
      </c>
      <c r="D15" s="239">
        <v>-344.21</v>
      </c>
      <c r="E15" s="239">
        <v>-273.14600000000002</v>
      </c>
      <c r="F15" s="239">
        <v>-203.49</v>
      </c>
      <c r="G15" s="244">
        <f ca="1">AER_Assumptions!H130</f>
        <v>-216.68896101393696</v>
      </c>
      <c r="H15" s="244">
        <f ca="1">AER_Assumptions!I130</f>
        <v>-230.74404553196464</v>
      </c>
      <c r="I15" s="244">
        <f ca="1">AER_Assumptions!J130</f>
        <v>-245.71078424725528</v>
      </c>
      <c r="J15" s="244">
        <f ca="1">AER_Assumptions!K130</f>
        <v>-261.64830973736974</v>
      </c>
      <c r="K15" s="244">
        <f ca="1">AER_Assumptions!L130</f>
        <v>-278.6195900930926</v>
      </c>
    </row>
    <row r="16" spans="3:13" x14ac:dyDescent="0.25">
      <c r="C16" s="10" t="s">
        <v>185</v>
      </c>
      <c r="D16" s="239">
        <v>-89.617999999999995</v>
      </c>
      <c r="E16" s="239">
        <v>-89.427999999999997</v>
      </c>
      <c r="F16" s="239">
        <v>-228.93</v>
      </c>
      <c r="G16" s="244">
        <f ca="1">-AER_Assumptions!H15</f>
        <v>-575.34014999999999</v>
      </c>
      <c r="H16" s="244">
        <f ca="1">-AER_Assumptions!I15</f>
        <v>-570.04702062000001</v>
      </c>
      <c r="I16" s="244">
        <f ca="1">-AER_Assumptions!J15</f>
        <v>-456.03761649600006</v>
      </c>
      <c r="J16" s="244">
        <f ca="1">-AER_Assumptions!K15</f>
        <v>-364.83009319680008</v>
      </c>
      <c r="K16" s="244">
        <f ca="1">-AER_Assumptions!L15</f>
        <v>-291.86407455744006</v>
      </c>
    </row>
    <row r="17" spans="3:17" x14ac:dyDescent="0.25">
      <c r="C17" s="10" t="s">
        <v>186</v>
      </c>
      <c r="D17" s="239">
        <v>-20.882000000000001</v>
      </c>
      <c r="E17" s="239">
        <v>-5.9050000000000002</v>
      </c>
      <c r="F17" s="239">
        <v>-9.5860000000000003</v>
      </c>
      <c r="G17" s="244">
        <f ca="1">AER_Assumptions!H106</f>
        <v>-9.8735620306341225</v>
      </c>
      <c r="H17" s="244">
        <f ca="1">AER_Assumptions!I106</f>
        <v>-7.047089922576883</v>
      </c>
      <c r="I17" s="244">
        <f ca="1">AER_Assumptions!J106</f>
        <v>-7.4615666885783156</v>
      </c>
      <c r="J17" s="244">
        <f ca="1">AER_Assumptions!K106</f>
        <v>-8.0098578654708223</v>
      </c>
      <c r="K17" s="244">
        <f ca="1">AER_Assumptions!L106</f>
        <v>-8.5217080489594963</v>
      </c>
    </row>
    <row r="18" spans="3:17" x14ac:dyDescent="0.25">
      <c r="C18" s="10" t="s">
        <v>187</v>
      </c>
      <c r="D18" s="239">
        <v>69.186999999999998</v>
      </c>
      <c r="E18" s="239">
        <v>96.087000000000003</v>
      </c>
      <c r="F18" s="239">
        <v>102.848</v>
      </c>
      <c r="G18" s="244">
        <f ca="1">AER_Assumptions!H57</f>
        <v>126.21281258879681</v>
      </c>
      <c r="H18" s="244">
        <f ca="1">AER_Assumptions!I57</f>
        <v>133.11003393718408</v>
      </c>
      <c r="I18" s="244">
        <f ca="1">AER_Assumptions!J57</f>
        <v>137.1580324646728</v>
      </c>
      <c r="J18" s="244">
        <f ca="1">AER_Assumptions!K57</f>
        <v>141.85387188326246</v>
      </c>
      <c r="K18" s="244">
        <f ca="1">AER_Assumptions!L57</f>
        <v>147.14085604456284</v>
      </c>
    </row>
    <row r="19" spans="3:17" x14ac:dyDescent="0.25">
      <c r="C19" s="10" t="s">
        <v>188</v>
      </c>
      <c r="D19" s="239">
        <v>68.128</v>
      </c>
      <c r="E19" s="239">
        <v>124.325</v>
      </c>
      <c r="F19" s="239">
        <v>630.42700000000002</v>
      </c>
      <c r="G19" s="244">
        <f>AER_Assumptions!H124</f>
        <v>326.61599999999999</v>
      </c>
      <c r="H19" s="244">
        <f>AER_Assumptions!I124</f>
        <v>357.42500000000001</v>
      </c>
      <c r="I19" s="244">
        <f>AER_Assumptions!J124</f>
        <v>220.07599999999999</v>
      </c>
      <c r="J19" s="244">
        <f>AER_Assumptions!K124</f>
        <v>171.42599999999999</v>
      </c>
      <c r="K19" s="244">
        <f>AER_Assumptions!L124</f>
        <v>130.15100000000001</v>
      </c>
    </row>
    <row r="20" spans="3:17" x14ac:dyDescent="0.25">
      <c r="C20" s="10" t="s">
        <v>189</v>
      </c>
      <c r="D20" s="239">
        <v>143.51</v>
      </c>
      <c r="E20" s="239">
        <v>-2.3010000000000002</v>
      </c>
      <c r="F20" s="239">
        <v>17.675999999999998</v>
      </c>
      <c r="G20" s="248">
        <f>AER_IS!I29</f>
        <v>0</v>
      </c>
      <c r="H20" s="248">
        <f>AER_IS!J29</f>
        <v>0</v>
      </c>
      <c r="I20" s="248">
        <f>AER_IS!K29</f>
        <v>0</v>
      </c>
      <c r="J20" s="248">
        <f>AER_IS!L29</f>
        <v>0</v>
      </c>
      <c r="K20" s="248">
        <f>AER_IS!M29</f>
        <v>0</v>
      </c>
      <c r="N20" s="335"/>
      <c r="O20" s="335"/>
      <c r="P20" s="335"/>
      <c r="Q20" s="335"/>
    </row>
    <row r="21" spans="3:17" x14ac:dyDescent="0.25">
      <c r="C21" s="10" t="s">
        <v>137</v>
      </c>
      <c r="D21" s="239">
        <v>118.46</v>
      </c>
      <c r="E21" s="239">
        <v>9.7129999999999992</v>
      </c>
      <c r="F21" s="239">
        <v>-2.0409999999999999</v>
      </c>
      <c r="G21" s="248">
        <f>AER_IS!I22</f>
        <v>0</v>
      </c>
      <c r="H21" s="248">
        <f>AER_IS!J22</f>
        <v>0</v>
      </c>
      <c r="I21" s="248">
        <f>AER_IS!K22</f>
        <v>0</v>
      </c>
      <c r="J21" s="248">
        <f>AER_IS!L22</f>
        <v>0</v>
      </c>
      <c r="K21" s="248">
        <f>AER_IS!M22</f>
        <v>0</v>
      </c>
    </row>
    <row r="22" spans="3:17" ht="14.25" customHeight="1" x14ac:dyDescent="0.25">
      <c r="C22" s="10" t="s">
        <v>140</v>
      </c>
      <c r="D22" s="238" t="s">
        <v>152</v>
      </c>
      <c r="E22" s="239">
        <v>186.47399999999999</v>
      </c>
      <c r="F22" s="238" t="s">
        <v>152</v>
      </c>
      <c r="G22" s="248">
        <f>AER_IS!I25</f>
        <v>0</v>
      </c>
      <c r="H22" s="248">
        <f>AER_IS!J25</f>
        <v>0</v>
      </c>
      <c r="I22" s="248">
        <f>AER_IS!K25</f>
        <v>0</v>
      </c>
      <c r="J22" s="248">
        <f>AER_IS!L25</f>
        <v>0</v>
      </c>
      <c r="K22" s="248">
        <f>AER_IS!M25</f>
        <v>0</v>
      </c>
      <c r="L22" s="141"/>
      <c r="M22" s="141"/>
      <c r="N22" s="251"/>
      <c r="O22" s="251"/>
      <c r="P22" s="251"/>
      <c r="Q22" s="251"/>
    </row>
    <row r="23" spans="3:17" x14ac:dyDescent="0.25">
      <c r="C23" s="10" t="s">
        <v>190</v>
      </c>
      <c r="D23" s="250">
        <v>252.35</v>
      </c>
      <c r="E23" s="250">
        <v>61.212000000000003</v>
      </c>
      <c r="F23" s="250">
        <v>-157.143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141"/>
      <c r="M23" s="141"/>
      <c r="N23" s="251"/>
      <c r="O23" s="251"/>
      <c r="P23" s="251"/>
      <c r="Q23" s="251"/>
    </row>
    <row r="24" spans="3:17" x14ac:dyDescent="0.25">
      <c r="C24" s="10" t="s">
        <v>191</v>
      </c>
      <c r="D24" s="239"/>
      <c r="E24" s="239"/>
      <c r="F24" s="239"/>
      <c r="G24" s="125"/>
      <c r="H24" s="125"/>
      <c r="I24" s="125"/>
      <c r="J24" s="125"/>
      <c r="K24" s="125"/>
      <c r="L24" s="141"/>
      <c r="M24" s="141"/>
      <c r="N24" s="251"/>
      <c r="O24" s="251"/>
      <c r="P24" s="251"/>
      <c r="Q24" s="251"/>
    </row>
    <row r="25" spans="3:17" x14ac:dyDescent="0.25">
      <c r="C25" s="16" t="s">
        <v>154</v>
      </c>
      <c r="D25" s="239">
        <v>-128.18799999999999</v>
      </c>
      <c r="E25" s="239">
        <v>232.119</v>
      </c>
      <c r="F25" s="239">
        <v>39.161999999999999</v>
      </c>
      <c r="G25" s="244">
        <f ca="1">AER_Assumptions!G94-AER_Assumptions!H94</f>
        <v>-45.309220357288382</v>
      </c>
      <c r="H25" s="244">
        <f ca="1">AER_Assumptions!H94-AER_Assumptions!I94</f>
        <v>-11.378469224902204</v>
      </c>
      <c r="I25" s="244">
        <f ca="1">AER_Assumptions!I94-AER_Assumptions!J94</f>
        <v>-9.4444844791095193</v>
      </c>
      <c r="J25" s="244">
        <f ca="1">AER_Assumptions!J94-AER_Assumptions!K94</f>
        <v>-9.9167087030650407</v>
      </c>
      <c r="K25" s="244">
        <f ca="1">AER_Assumptions!K94-AER_Assumptions!L94</f>
        <v>-10.412544138218266</v>
      </c>
    </row>
    <row r="26" spans="3:17" x14ac:dyDescent="0.25">
      <c r="C26" s="16" t="s">
        <v>160</v>
      </c>
      <c r="D26" s="239">
        <v>-400.31599999999997</v>
      </c>
      <c r="E26" s="239">
        <v>112.79</v>
      </c>
      <c r="F26" s="239">
        <v>113.374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</row>
    <row r="27" spans="3:17" x14ac:dyDescent="0.25">
      <c r="C27" s="16" t="s">
        <v>192</v>
      </c>
      <c r="D27" s="239">
        <v>-126.17700000000001</v>
      </c>
      <c r="E27" s="239">
        <v>130.333</v>
      </c>
      <c r="F27" s="239">
        <v>-542.01900000000001</v>
      </c>
      <c r="G27" s="244">
        <f ca="1">AER_Assumptions!H100-AER_Assumptions!G100</f>
        <v>334.9344415710575</v>
      </c>
      <c r="H27" s="244">
        <f ca="1">AER_Assumptions!I100-AER_Assumptions!H100</f>
        <v>117.29578500470507</v>
      </c>
      <c r="I27" s="244">
        <f ca="1">AER_Assumptions!J100-AER_Assumptions!I100</f>
        <v>97.359161328788105</v>
      </c>
      <c r="J27" s="244">
        <f ca="1">AER_Assumptions!K100-AER_Assumptions!J100</f>
        <v>102.22711939522787</v>
      </c>
      <c r="K27" s="244">
        <f ca="1">AER_Assumptions!L100-AER_Assumptions!K100</f>
        <v>107.33847536498888</v>
      </c>
    </row>
    <row r="28" spans="3:17" x14ac:dyDescent="0.25">
      <c r="C28" s="4" t="s">
        <v>21</v>
      </c>
      <c r="D28" s="239">
        <f>SUM(D8:D27)</f>
        <v>2130.3829999999998</v>
      </c>
      <c r="E28" s="239">
        <f>SUM(E8:E27)</f>
        <v>3693.8220000000006</v>
      </c>
      <c r="F28" s="239">
        <f>SUM(F8:F27)</f>
        <v>5170.9619999999995</v>
      </c>
      <c r="G28" s="125">
        <f ca="1">SUM(G8:G27)</f>
        <v>6022.8007909233802</v>
      </c>
      <c r="H28" s="125">
        <f t="shared" ref="H28:K28" ca="1" si="0">SUM(H8:H27)</f>
        <v>5323.8041750593011</v>
      </c>
      <c r="I28" s="125">
        <f t="shared" ca="1" si="0"/>
        <v>5567.6044212155393</v>
      </c>
      <c r="J28" s="125">
        <f t="shared" ca="1" si="0"/>
        <v>5954.1719322158497</v>
      </c>
      <c r="K28" s="125">
        <f t="shared" ca="1" si="0"/>
        <v>6324.5378411537686</v>
      </c>
    </row>
    <row r="29" spans="3:17" x14ac:dyDescent="0.25">
      <c r="C29" s="3"/>
      <c r="D29" s="239"/>
      <c r="E29" s="239"/>
      <c r="F29" s="239"/>
      <c r="G29" s="125"/>
      <c r="H29" s="125"/>
      <c r="I29" s="125"/>
      <c r="J29" s="125"/>
      <c r="K29" s="125"/>
    </row>
    <row r="30" spans="3:17" x14ac:dyDescent="0.25">
      <c r="C30" s="234" t="s">
        <v>22</v>
      </c>
      <c r="D30" s="239"/>
      <c r="E30" s="239"/>
      <c r="F30" s="239"/>
      <c r="G30" s="125"/>
      <c r="H30" s="125"/>
      <c r="I30" s="125"/>
      <c r="J30" s="125"/>
      <c r="K30" s="125"/>
    </row>
    <row r="31" spans="3:17" x14ac:dyDescent="0.25">
      <c r="C31" s="10" t="s">
        <v>193</v>
      </c>
      <c r="D31" s="239">
        <v>-778.54700000000003</v>
      </c>
      <c r="E31" s="239">
        <v>-1703.395</v>
      </c>
      <c r="F31" s="239">
        <v>-3480.0740000000001</v>
      </c>
      <c r="G31" s="244">
        <f ca="1">-AER_Assumptions!H82</f>
        <v>-4441.7761176799995</v>
      </c>
      <c r="H31" s="244">
        <f ca="1">-AER_Assumptions!I82</f>
        <v>-4684.5083128924744</v>
      </c>
      <c r="I31" s="244">
        <f ca="1">-AER_Assumptions!J82</f>
        <v>-1316.445959487402</v>
      </c>
      <c r="J31" s="244">
        <f ca="1">-AER_Assumptions!K82</f>
        <v>-1361.5167345482521</v>
      </c>
      <c r="K31" s="244">
        <f ca="1">-AER_Assumptions!L82</f>
        <v>-1412.2613304858646</v>
      </c>
      <c r="L31" s="141"/>
      <c r="M31" s="141"/>
      <c r="N31" s="141"/>
      <c r="O31" s="141"/>
      <c r="P31" s="141"/>
      <c r="Q31" s="141"/>
    </row>
    <row r="32" spans="3:17" x14ac:dyDescent="0.25">
      <c r="C32" s="10" t="s">
        <v>194</v>
      </c>
      <c r="D32" s="239">
        <v>471.43700000000001</v>
      </c>
      <c r="E32" s="239">
        <v>796.61300000000006</v>
      </c>
      <c r="F32" s="239">
        <v>1635.777</v>
      </c>
      <c r="G32" s="244">
        <f ca="1">AER_Assumptions!H15</f>
        <v>575.34014999999999</v>
      </c>
      <c r="H32" s="244">
        <f ca="1">AER_Assumptions!I15</f>
        <v>570.04702062000001</v>
      </c>
      <c r="I32" s="244">
        <f ca="1">AER_Assumptions!J15</f>
        <v>456.03761649600006</v>
      </c>
      <c r="J32" s="244">
        <f ca="1">AER_Assumptions!K15</f>
        <v>364.83009319680008</v>
      </c>
      <c r="K32" s="244">
        <f ca="1">AER_Assumptions!L15</f>
        <v>291.86407455744006</v>
      </c>
      <c r="L32" s="141"/>
      <c r="M32" s="141"/>
      <c r="N32" s="141"/>
      <c r="O32" s="141"/>
      <c r="P32" s="141"/>
      <c r="Q32" s="141"/>
    </row>
    <row r="33" spans="3:17" x14ac:dyDescent="0.25">
      <c r="C33" s="10" t="s">
        <v>156</v>
      </c>
      <c r="D33" s="239">
        <v>-405.178</v>
      </c>
      <c r="E33" s="239">
        <v>-86.385999999999996</v>
      </c>
      <c r="F33" s="239">
        <v>-391.49799999999999</v>
      </c>
      <c r="G33" s="244">
        <f ca="1">AER_Assumptions!H112</f>
        <v>-35.280556959453357</v>
      </c>
      <c r="H33" s="244">
        <f ca="1">AER_Assumptions!I112</f>
        <v>-14.408789611386483</v>
      </c>
      <c r="I33" s="244">
        <f ca="1">AER_Assumptions!J112</f>
        <v>-5.8846355034531133</v>
      </c>
      <c r="J33" s="244">
        <f ca="1">AER_Assumptions!K112</f>
        <v>-2.4033201915263938</v>
      </c>
      <c r="K33" s="244">
        <f ca="1">AER_Assumptions!L112</f>
        <v>-0.98153028163071898</v>
      </c>
      <c r="L33" s="141"/>
      <c r="M33" s="141"/>
      <c r="N33" s="141"/>
      <c r="O33" s="141"/>
      <c r="P33" s="141"/>
      <c r="Q33" s="141"/>
    </row>
    <row r="34" spans="3:17" x14ac:dyDescent="0.25">
      <c r="C34" s="10" t="s">
        <v>195</v>
      </c>
      <c r="D34" s="238" t="s">
        <v>152</v>
      </c>
      <c r="E34" s="239">
        <v>-22493.195</v>
      </c>
      <c r="F34" s="238" t="s">
        <v>152</v>
      </c>
      <c r="G34" s="247" t="s">
        <v>152</v>
      </c>
      <c r="H34" s="247" t="s">
        <v>152</v>
      </c>
      <c r="I34" s="247" t="s">
        <v>152</v>
      </c>
      <c r="J34" s="247" t="s">
        <v>152</v>
      </c>
      <c r="K34" s="247" t="s">
        <v>152</v>
      </c>
    </row>
    <row r="35" spans="3:17" x14ac:dyDescent="0.25">
      <c r="C35" s="10" t="s">
        <v>190</v>
      </c>
      <c r="D35" s="238" t="s">
        <v>152</v>
      </c>
      <c r="E35" s="239">
        <v>27.427</v>
      </c>
      <c r="F35" s="239">
        <v>75.296000000000006</v>
      </c>
      <c r="G35" s="247" t="s">
        <v>152</v>
      </c>
      <c r="H35" s="247" t="s">
        <v>152</v>
      </c>
      <c r="I35" s="247" t="s">
        <v>152</v>
      </c>
      <c r="J35" s="247" t="s">
        <v>152</v>
      </c>
      <c r="K35" s="247" t="s">
        <v>152</v>
      </c>
    </row>
    <row r="36" spans="3:17" x14ac:dyDescent="0.25">
      <c r="C36" s="4" t="s">
        <v>23</v>
      </c>
      <c r="D36" s="239">
        <v>-712.28800000000001</v>
      </c>
      <c r="E36" s="239">
        <f>SUM(E31:E35)</f>
        <v>-23458.936000000002</v>
      </c>
      <c r="F36" s="239">
        <v>-2160.4989999999998</v>
      </c>
      <c r="G36" s="125">
        <f ca="1">SUM(G31:G35)</f>
        <v>-3901.7165246394529</v>
      </c>
      <c r="H36" s="125">
        <f t="shared" ref="H36:K36" ca="1" si="1">SUM(H31:H35)</f>
        <v>-4128.8700818838606</v>
      </c>
      <c r="I36" s="125">
        <f t="shared" ca="1" si="1"/>
        <v>-866.29297849485499</v>
      </c>
      <c r="J36" s="125">
        <f t="shared" ca="1" si="1"/>
        <v>-999.08996154297836</v>
      </c>
      <c r="K36" s="125">
        <f t="shared" ca="1" si="1"/>
        <v>-1121.3787862100553</v>
      </c>
    </row>
    <row r="37" spans="3:17" x14ac:dyDescent="0.25">
      <c r="C37" s="3"/>
      <c r="D37" s="239"/>
      <c r="E37" s="239"/>
      <c r="F37" s="239"/>
      <c r="G37" s="125"/>
      <c r="H37" s="125"/>
      <c r="I37" s="125"/>
      <c r="J37" s="125"/>
      <c r="K37" s="125"/>
    </row>
    <row r="38" spans="3:17" x14ac:dyDescent="0.25">
      <c r="C38" s="234" t="s">
        <v>24</v>
      </c>
      <c r="D38" s="239"/>
      <c r="E38" s="239"/>
      <c r="F38" s="239"/>
      <c r="G38" s="125"/>
      <c r="H38" s="125"/>
      <c r="I38" s="125"/>
      <c r="J38" s="125"/>
      <c r="K38" s="125"/>
    </row>
    <row r="39" spans="3:17" ht="14.25" customHeight="1" x14ac:dyDescent="0.25">
      <c r="C39" s="10" t="s">
        <v>196</v>
      </c>
      <c r="D39" s="239">
        <v>10946.333000000001</v>
      </c>
      <c r="E39" s="239">
        <v>26496.66</v>
      </c>
      <c r="F39" s="239">
        <v>467.99599999999998</v>
      </c>
      <c r="G39" s="244">
        <f ca="1">AER_Debt!D69</f>
        <v>5546.07</v>
      </c>
      <c r="H39" s="244">
        <f ca="1">AER_Debt!E69</f>
        <v>7509.42</v>
      </c>
      <c r="I39" s="244">
        <f ca="1">AER_Debt!F69</f>
        <v>4665.84</v>
      </c>
      <c r="J39" s="244">
        <f ca="1">AER_Debt!G69</f>
        <v>6033.6</v>
      </c>
      <c r="K39" s="244">
        <f ca="1">AER_Debt!H69</f>
        <v>2135.6</v>
      </c>
      <c r="L39" s="141"/>
      <c r="M39" s="141"/>
      <c r="N39" s="251"/>
      <c r="O39" s="251"/>
      <c r="P39" s="251"/>
      <c r="Q39" s="251"/>
    </row>
    <row r="40" spans="3:17" x14ac:dyDescent="0.25">
      <c r="C40" s="10" t="s">
        <v>197</v>
      </c>
      <c r="D40" s="239">
        <v>-11560.014999999999</v>
      </c>
      <c r="E40" s="239">
        <v>-5973.5079999999998</v>
      </c>
      <c r="F40" s="239">
        <v>-4230.0820000000003</v>
      </c>
      <c r="G40" s="244">
        <f>AER_Debt!D70</f>
        <v>-6162.3</v>
      </c>
      <c r="H40" s="244">
        <f>AER_Debt!E70</f>
        <v>-8343.7999999999993</v>
      </c>
      <c r="I40" s="244">
        <f>AER_Debt!F70</f>
        <v>-5832.3</v>
      </c>
      <c r="J40" s="244">
        <f>AER_Debt!G70</f>
        <v>-7542</v>
      </c>
      <c r="K40" s="244">
        <f>AER_Debt!H70</f>
        <v>-2669.5</v>
      </c>
      <c r="L40" s="141"/>
      <c r="M40" s="141"/>
      <c r="N40" s="251"/>
      <c r="O40" s="251"/>
      <c r="P40" s="251"/>
      <c r="Q40" s="251"/>
    </row>
    <row r="41" spans="3:17" x14ac:dyDescent="0.25">
      <c r="C41" s="10" t="s">
        <v>198</v>
      </c>
      <c r="D41" s="239">
        <v>-253.80600000000001</v>
      </c>
      <c r="E41" s="239">
        <v>-422.26</v>
      </c>
      <c r="F41" s="239">
        <v>0.379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141"/>
      <c r="M41" s="141"/>
      <c r="N41" s="251"/>
      <c r="O41" s="251"/>
      <c r="P41" s="251"/>
      <c r="Q41" s="251"/>
    </row>
    <row r="42" spans="3:17" x14ac:dyDescent="0.25">
      <c r="C42" s="10" t="s">
        <v>199</v>
      </c>
      <c r="D42" s="239">
        <v>345.69900000000001</v>
      </c>
      <c r="E42" s="239">
        <v>448.51600000000002</v>
      </c>
      <c r="F42" s="239">
        <v>779.82399999999996</v>
      </c>
      <c r="G42" s="244">
        <f ca="1">AER_Assumptions!H154</f>
        <v>803.39525403098662</v>
      </c>
      <c r="H42" s="244">
        <f ca="1">AER_Assumptions!I154</f>
        <v>854.89288981437301</v>
      </c>
      <c r="I42" s="244">
        <f ca="1">AER_Assumptions!J154</f>
        <v>897.63753430509166</v>
      </c>
      <c r="J42" s="244">
        <f ca="1">AER_Assumptions!K154</f>
        <v>942.5194110203463</v>
      </c>
      <c r="K42" s="244">
        <f ca="1">AER_Assumptions!L154</f>
        <v>989.64538157136371</v>
      </c>
    </row>
    <row r="43" spans="3:17" x14ac:dyDescent="0.25">
      <c r="C43" s="10" t="s">
        <v>297</v>
      </c>
      <c r="D43" s="239">
        <v>-412.49200000000002</v>
      </c>
      <c r="E43" s="239">
        <v>-209.08699999999999</v>
      </c>
      <c r="F43" s="239">
        <v>-245.29400000000001</v>
      </c>
      <c r="G43" s="244">
        <f ca="1">AER_Assumptions!H160</f>
        <v>-448.00784146754074</v>
      </c>
      <c r="H43" s="244">
        <f ca="1">AER_Assumptions!I160</f>
        <v>-476.72514410561013</v>
      </c>
      <c r="I43" s="244">
        <f ca="1">AER_Assumptions!J160</f>
        <v>-500.56140131089063</v>
      </c>
      <c r="J43" s="244">
        <f ca="1">AER_Assumptions!K160</f>
        <v>-525.5894713764352</v>
      </c>
      <c r="K43" s="244">
        <f ca="1">AER_Assumptions!L160</f>
        <v>-551.868944945257</v>
      </c>
    </row>
    <row r="44" spans="3:17" x14ac:dyDescent="0.25">
      <c r="C44" s="10" t="s">
        <v>201</v>
      </c>
      <c r="D44" s="239">
        <v>137.13</v>
      </c>
      <c r="E44" s="239">
        <v>210.78100000000001</v>
      </c>
      <c r="F44" s="239">
        <v>332.822</v>
      </c>
      <c r="G44" s="244">
        <f ca="1">AER_Assumptions!H142</f>
        <v>315.62334080634179</v>
      </c>
      <c r="H44" s="244">
        <f ca="1">AER_Assumptions!I142</f>
        <v>335.85479695202832</v>
      </c>
      <c r="I44" s="244">
        <f ca="1">AER_Assumptions!J142</f>
        <v>352.64753679962973</v>
      </c>
      <c r="J44" s="244">
        <f ca="1">AER_Assumptions!K142</f>
        <v>370.27991363961127</v>
      </c>
      <c r="K44" s="244">
        <f ca="1">AER_Assumptions!L142</f>
        <v>388.79390932159185</v>
      </c>
    </row>
    <row r="45" spans="3:17" x14ac:dyDescent="0.25">
      <c r="C45" s="10" t="s">
        <v>202</v>
      </c>
      <c r="D45" s="239">
        <v>-297.46899999999999</v>
      </c>
      <c r="E45" s="239">
        <v>-290.75799999999998</v>
      </c>
      <c r="F45" s="239">
        <v>-245.084</v>
      </c>
      <c r="G45" s="244">
        <f ca="1">AER_Assumptions!H148</f>
        <v>-446.43893002347153</v>
      </c>
      <c r="H45" s="244">
        <f ca="1">AER_Assumptions!I148</f>
        <v>-475.05566543797613</v>
      </c>
      <c r="I45" s="244">
        <f ca="1">AER_Assumptions!J148</f>
        <v>-498.80844870987494</v>
      </c>
      <c r="J45" s="244">
        <f ca="1">AER_Assumptions!K148</f>
        <v>-523.74887114536875</v>
      </c>
      <c r="K45" s="244">
        <f ca="1">AER_Assumptions!L148</f>
        <v>-549.93631470263722</v>
      </c>
    </row>
    <row r="46" spans="3:17" x14ac:dyDescent="0.25">
      <c r="C46" s="10" t="s">
        <v>203</v>
      </c>
      <c r="D46" s="239">
        <v>-2.9350000000000001</v>
      </c>
      <c r="E46" s="239">
        <v>-0.32300000000000001</v>
      </c>
      <c r="F46" s="239">
        <v>-3.9569999999999999</v>
      </c>
      <c r="G46" s="244">
        <f ca="1">AER_Equity!G7</f>
        <v>-8.0759565775999995</v>
      </c>
      <c r="H46" s="244">
        <f ca="1">AER_Equity!H7</f>
        <v>-8.5172878416226805</v>
      </c>
      <c r="I46" s="244">
        <f ca="1">AER_Equity!I7</f>
        <v>-8.7763063965826813</v>
      </c>
      <c r="J46" s="244">
        <f ca="1">AER_Equity!J7</f>
        <v>-9.0767782303216809</v>
      </c>
      <c r="K46" s="244">
        <f ca="1">AER_Equity!K7</f>
        <v>-9.4150755365724308</v>
      </c>
    </row>
    <row r="47" spans="3:17" x14ac:dyDescent="0.25">
      <c r="C47" s="10" t="s">
        <v>204</v>
      </c>
      <c r="D47" s="239">
        <v>-127.777</v>
      </c>
      <c r="E47" s="239">
        <v>-76.22</v>
      </c>
      <c r="F47" s="239">
        <v>-17.419</v>
      </c>
      <c r="G47" s="244">
        <f ca="1">-AER_Equity!G11</f>
        <v>-1254.7515365000002</v>
      </c>
      <c r="H47" s="244">
        <f ca="1">-AER_Equity!H11</f>
        <v>-627.37576825000008</v>
      </c>
      <c r="I47" s="244">
        <f ca="1">-AER_Equity!I11</f>
        <v>-564.63819142500006</v>
      </c>
      <c r="J47" s="244">
        <f ca="1">-AER_Equity!J11</f>
        <v>-508.17437228250009</v>
      </c>
      <c r="K47" s="244">
        <f ca="1">-AER_Equity!K11</f>
        <v>-457.35693505425007</v>
      </c>
    </row>
    <row r="48" spans="3:17" x14ac:dyDescent="0.25">
      <c r="C48" s="4" t="s">
        <v>25</v>
      </c>
      <c r="D48" s="239">
        <v>-1225.3320000000001</v>
      </c>
      <c r="E48" s="239">
        <v>20183.800999999999</v>
      </c>
      <c r="F48" s="239">
        <f>SUM(F39:F47)</f>
        <v>-3160.8149999999996</v>
      </c>
      <c r="G48" s="125">
        <f t="shared" ref="G48:K48" ca="1" si="2">SUM(G39:G47)</f>
        <v>-1654.4856697312844</v>
      </c>
      <c r="H48" s="125">
        <f t="shared" ca="1" si="2"/>
        <v>-1231.3061788688069</v>
      </c>
      <c r="I48" s="125">
        <f t="shared" ca="1" si="2"/>
        <v>-1488.9592767376269</v>
      </c>
      <c r="J48" s="125">
        <f t="shared" ca="1" si="2"/>
        <v>-1762.1901683746678</v>
      </c>
      <c r="K48" s="125">
        <f t="shared" ca="1" si="2"/>
        <v>-724.03797934576119</v>
      </c>
    </row>
    <row r="49" spans="3:11" x14ac:dyDescent="0.25">
      <c r="C49" s="3"/>
      <c r="D49" s="5"/>
      <c r="E49" s="5"/>
      <c r="F49" s="5"/>
      <c r="G49" s="26"/>
      <c r="H49" s="26"/>
      <c r="I49" s="26"/>
      <c r="J49" s="26"/>
      <c r="K49" s="26"/>
    </row>
    <row r="50" spans="3:11" x14ac:dyDescent="0.25">
      <c r="C50" s="3" t="s">
        <v>26</v>
      </c>
      <c r="D50" s="5"/>
      <c r="E50" s="5"/>
      <c r="F50" s="5"/>
      <c r="G50" s="26"/>
      <c r="H50" s="26"/>
      <c r="I50" s="26"/>
      <c r="J50" s="26"/>
      <c r="K50" s="26"/>
    </row>
    <row r="51" spans="3:11" x14ac:dyDescent="0.25">
      <c r="C51" s="3" t="s">
        <v>205</v>
      </c>
      <c r="D51" s="50">
        <v>2.1800000000000002</v>
      </c>
      <c r="E51" s="50">
        <v>0.77600000000000002</v>
      </c>
      <c r="F51" s="50">
        <v>-7.6310000000000002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3:11" x14ac:dyDescent="0.25">
      <c r="C52" s="4" t="s">
        <v>27</v>
      </c>
      <c r="D52" s="50">
        <f t="shared" ref="D52:F52" si="3">D28+D36+D48+D51</f>
        <v>194.9429999999997</v>
      </c>
      <c r="E52" s="50">
        <f>E28+E36+E48+E51</f>
        <v>419.46299999999809</v>
      </c>
      <c r="F52" s="50">
        <f t="shared" si="3"/>
        <v>-157.98299999999986</v>
      </c>
      <c r="G52" s="5">
        <f ca="1">G48+G36+G28</f>
        <v>466.59859655264336</v>
      </c>
      <c r="H52" s="5">
        <f t="shared" ref="H52:K52" ca="1" si="4">H48+H36+H28</f>
        <v>-36.372085693365989</v>
      </c>
      <c r="I52" s="5">
        <f t="shared" ca="1" si="4"/>
        <v>3212.3521659830576</v>
      </c>
      <c r="J52" s="5">
        <f t="shared" ca="1" si="4"/>
        <v>3192.8918022982034</v>
      </c>
      <c r="K52" s="5">
        <f t="shared" ca="1" si="4"/>
        <v>4479.1210755979519</v>
      </c>
    </row>
    <row r="53" spans="3:11" x14ac:dyDescent="0.25">
      <c r="D53" s="124"/>
    </row>
  </sheetData>
  <mergeCells count="2">
    <mergeCell ref="D3:K3"/>
    <mergeCell ref="N20:Q20"/>
  </mergeCells>
  <pageMargins left="0.7" right="0.7" top="0.75" bottom="0.75" header="0.3" footer="0.3"/>
  <pageSetup scale="5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FC8C-7470-428E-A706-24EC1F9F5573}">
  <dimension ref="C3:H32"/>
  <sheetViews>
    <sheetView showGridLines="0" tabSelected="1" zoomScale="90" zoomScaleNormal="90" zoomScaleSheetLayoutView="90" workbookViewId="0">
      <selection activeCell="B2" sqref="B2:H30"/>
    </sheetView>
  </sheetViews>
  <sheetFormatPr defaultColWidth="9.140625" defaultRowHeight="15" x14ac:dyDescent="0.25"/>
  <cols>
    <col min="2" max="2" width="5.7109375" customWidth="1"/>
    <col min="3" max="3" width="41.85546875" bestFit="1" customWidth="1"/>
    <col min="4" max="4" width="11.7109375" customWidth="1"/>
    <col min="5" max="5" width="11.5703125" customWidth="1"/>
    <col min="6" max="6" width="24.7109375" customWidth="1"/>
    <col min="7" max="7" width="11.85546875" customWidth="1"/>
    <col min="8" max="8" width="5.7109375" customWidth="1"/>
    <col min="9" max="9" width="8.140625" bestFit="1" customWidth="1"/>
    <col min="10" max="10" width="12.42578125" bestFit="1" customWidth="1"/>
    <col min="11" max="11" width="9.7109375" bestFit="1" customWidth="1"/>
    <col min="12" max="12" width="9.85546875" bestFit="1" customWidth="1"/>
  </cols>
  <sheetData>
    <row r="3" spans="3:8" x14ac:dyDescent="0.25">
      <c r="C3" s="77" t="s">
        <v>325</v>
      </c>
      <c r="D3" s="78"/>
      <c r="E3" s="78"/>
      <c r="F3" s="79" t="s">
        <v>78</v>
      </c>
      <c r="G3" s="104">
        <f ca="1">Cover!Q14</f>
        <v>45222</v>
      </c>
      <c r="H3" s="3"/>
    </row>
    <row r="4" spans="3:8" x14ac:dyDescent="0.25">
      <c r="C4" s="64" t="s">
        <v>41</v>
      </c>
      <c r="D4" s="3"/>
      <c r="E4" s="3"/>
      <c r="F4" s="4"/>
      <c r="G4" s="80"/>
      <c r="H4" s="3"/>
    </row>
    <row r="5" spans="3:8" x14ac:dyDescent="0.25">
      <c r="C5" s="3"/>
      <c r="D5" s="3"/>
      <c r="E5" s="3"/>
      <c r="F5" s="3"/>
      <c r="G5" s="3"/>
      <c r="H5" s="3"/>
    </row>
    <row r="6" spans="3:8" x14ac:dyDescent="0.25">
      <c r="C6" s="343" t="s">
        <v>79</v>
      </c>
      <c r="D6" s="344"/>
      <c r="E6" s="3"/>
      <c r="F6" s="343" t="s">
        <v>80</v>
      </c>
      <c r="G6" s="344"/>
      <c r="H6" s="3"/>
    </row>
    <row r="7" spans="3:8" x14ac:dyDescent="0.25">
      <c r="C7" s="69" t="s">
        <v>81</v>
      </c>
      <c r="D7" s="68">
        <v>0.05</v>
      </c>
      <c r="E7" s="3"/>
      <c r="F7" s="69" t="s">
        <v>219</v>
      </c>
      <c r="G7" s="11">
        <f>D11</f>
        <v>0.04</v>
      </c>
      <c r="H7" s="3"/>
    </row>
    <row r="8" spans="3:8" x14ac:dyDescent="0.25">
      <c r="C8" s="81" t="s">
        <v>77</v>
      </c>
      <c r="D8" s="82">
        <v>0.05</v>
      </c>
      <c r="E8" s="3"/>
      <c r="F8" s="6" t="s">
        <v>42</v>
      </c>
      <c r="G8" s="83">
        <f ca="1">D10</f>
        <v>0.14099999999999999</v>
      </c>
      <c r="H8" s="3"/>
    </row>
    <row r="9" spans="3:8" x14ac:dyDescent="0.25">
      <c r="C9" s="81" t="s">
        <v>82</v>
      </c>
      <c r="D9" s="84">
        <v>1.96</v>
      </c>
      <c r="E9" s="3"/>
      <c r="F9" s="113" t="s">
        <v>83</v>
      </c>
      <c r="G9" s="114">
        <f ca="1">G7*(1-G8)</f>
        <v>3.4360000000000002E-2</v>
      </c>
      <c r="H9" s="3"/>
    </row>
    <row r="10" spans="3:8" x14ac:dyDescent="0.25">
      <c r="C10" s="81" t="s">
        <v>84</v>
      </c>
      <c r="D10" s="85">
        <f ca="1">AER_Assumptions!H77</f>
        <v>0.14099999999999999</v>
      </c>
      <c r="E10" s="3"/>
      <c r="H10" s="3"/>
    </row>
    <row r="11" spans="3:8" x14ac:dyDescent="0.25">
      <c r="C11" s="81" t="s">
        <v>219</v>
      </c>
      <c r="D11" s="85">
        <v>0.04</v>
      </c>
      <c r="E11" s="3"/>
      <c r="H11" s="3"/>
    </row>
    <row r="12" spans="3:8" x14ac:dyDescent="0.25">
      <c r="C12" s="81" t="s">
        <v>218</v>
      </c>
      <c r="D12" s="85">
        <v>0.14779999999999999</v>
      </c>
      <c r="E12" s="3"/>
      <c r="H12" s="3"/>
    </row>
    <row r="13" spans="3:8" x14ac:dyDescent="0.25">
      <c r="C13" s="81" t="s">
        <v>85</v>
      </c>
      <c r="D13" s="147">
        <f>AER_Hist_IS!H36</f>
        <v>240.48684900000001</v>
      </c>
      <c r="E13" s="3"/>
      <c r="F13" s="3"/>
      <c r="G13" s="3"/>
      <c r="H13" s="3"/>
    </row>
    <row r="14" spans="3:8" x14ac:dyDescent="0.25">
      <c r="C14" s="81" t="s">
        <v>70</v>
      </c>
      <c r="D14" s="86">
        <f>Cover!Q15</f>
        <v>58.54</v>
      </c>
      <c r="E14" s="3"/>
      <c r="F14" s="343" t="s">
        <v>94</v>
      </c>
      <c r="G14" s="344"/>
      <c r="H14" s="3"/>
    </row>
    <row r="15" spans="3:8" x14ac:dyDescent="0.25">
      <c r="C15" s="6" t="s">
        <v>86</v>
      </c>
      <c r="D15" s="87">
        <v>46387</v>
      </c>
      <c r="E15" s="3"/>
      <c r="F15" s="81" t="s">
        <v>81</v>
      </c>
      <c r="G15" s="12">
        <f>D7</f>
        <v>0.05</v>
      </c>
      <c r="H15" s="3"/>
    </row>
    <row r="16" spans="3:8" x14ac:dyDescent="0.25">
      <c r="E16" s="3"/>
      <c r="F16" s="81" t="s">
        <v>87</v>
      </c>
      <c r="G16" s="12">
        <f>D8</f>
        <v>0.05</v>
      </c>
      <c r="H16" s="3"/>
    </row>
    <row r="17" spans="3:8" x14ac:dyDescent="0.25">
      <c r="E17" s="3"/>
      <c r="F17" s="81" t="s">
        <v>218</v>
      </c>
      <c r="G17" s="12">
        <f>D12</f>
        <v>0.14779999999999999</v>
      </c>
      <c r="H17" s="3"/>
    </row>
    <row r="18" spans="3:8" x14ac:dyDescent="0.25">
      <c r="C18" s="3"/>
      <c r="D18" s="3"/>
      <c r="E18" s="3"/>
      <c r="F18" s="81" t="s">
        <v>88</v>
      </c>
      <c r="G18" s="240">
        <v>1.96</v>
      </c>
      <c r="H18" s="3"/>
    </row>
    <row r="19" spans="3:8" x14ac:dyDescent="0.25">
      <c r="C19" s="3"/>
      <c r="D19" s="3"/>
      <c r="E19" s="3"/>
      <c r="F19" s="113" t="s">
        <v>89</v>
      </c>
      <c r="G19" s="114">
        <f>G15+G16*G18*(1+G17)</f>
        <v>0.1624844</v>
      </c>
      <c r="H19" s="3"/>
    </row>
    <row r="20" spans="3:8" x14ac:dyDescent="0.25">
      <c r="C20" s="3"/>
      <c r="D20" s="3"/>
      <c r="E20" s="3"/>
      <c r="F20" s="4"/>
      <c r="G20" s="88"/>
      <c r="H20" s="3"/>
    </row>
    <row r="21" spans="3:8" x14ac:dyDescent="0.25">
      <c r="C21" s="3"/>
      <c r="D21" s="3"/>
      <c r="E21" s="3"/>
      <c r="F21" s="3"/>
      <c r="G21" s="3"/>
      <c r="H21" s="3"/>
    </row>
    <row r="22" spans="3:8" x14ac:dyDescent="0.25">
      <c r="C22" s="343" t="s">
        <v>74</v>
      </c>
      <c r="D22" s="345"/>
      <c r="E22" s="345"/>
      <c r="F22" s="345"/>
      <c r="G22" s="344"/>
      <c r="H22" s="3"/>
    </row>
    <row r="23" spans="3:8" x14ac:dyDescent="0.25">
      <c r="C23" s="3"/>
      <c r="D23" s="3"/>
      <c r="E23" s="3"/>
      <c r="F23" s="3"/>
      <c r="G23" s="3"/>
      <c r="H23" s="3"/>
    </row>
    <row r="24" spans="3:8" x14ac:dyDescent="0.25">
      <c r="C24" s="89" t="s">
        <v>90</v>
      </c>
      <c r="D24" s="90" t="s">
        <v>75</v>
      </c>
      <c r="E24" s="90" t="s">
        <v>76</v>
      </c>
      <c r="F24" s="346" t="s">
        <v>91</v>
      </c>
      <c r="G24" s="347"/>
      <c r="H24" s="3"/>
    </row>
    <row r="25" spans="3:8" x14ac:dyDescent="0.25">
      <c r="C25" s="69" t="s">
        <v>86</v>
      </c>
      <c r="D25" s="91">
        <f>D15</f>
        <v>46387</v>
      </c>
      <c r="E25" s="70">
        <f>D25/D27</f>
        <v>0.76716982014820656</v>
      </c>
      <c r="F25" s="348">
        <f ca="1">G9</f>
        <v>3.4360000000000002E-2</v>
      </c>
      <c r="G25" s="349"/>
      <c r="H25" s="3"/>
    </row>
    <row r="26" spans="3:8" x14ac:dyDescent="0.25">
      <c r="C26" s="81" t="s">
        <v>92</v>
      </c>
      <c r="D26" s="91">
        <f>D13*D14</f>
        <v>14078.100140460001</v>
      </c>
      <c r="E26" s="70">
        <f>D26/D27</f>
        <v>0.23283017985179341</v>
      </c>
      <c r="F26" s="350">
        <f>G19</f>
        <v>0.1624844</v>
      </c>
      <c r="G26" s="351"/>
      <c r="H26" s="3"/>
    </row>
    <row r="27" spans="3:8" x14ac:dyDescent="0.25">
      <c r="C27" s="77" t="s">
        <v>66</v>
      </c>
      <c r="D27" s="101">
        <f>SUM(D25,D26)</f>
        <v>60465.100140460003</v>
      </c>
      <c r="E27" s="102">
        <f>D27/$D$27</f>
        <v>1</v>
      </c>
      <c r="F27" s="341">
        <f ca="1">E25*F25+E26*F26</f>
        <v>6.4191227095403119E-2</v>
      </c>
      <c r="G27" s="342"/>
      <c r="H27" s="3"/>
    </row>
    <row r="28" spans="3:8" x14ac:dyDescent="0.25">
      <c r="C28" s="3"/>
      <c r="D28" s="3"/>
      <c r="E28" s="3"/>
      <c r="F28" s="3"/>
      <c r="G28" s="3"/>
      <c r="H28" s="3"/>
    </row>
    <row r="29" spans="3:8" x14ac:dyDescent="0.25">
      <c r="C29" s="113" t="s">
        <v>93</v>
      </c>
      <c r="D29" s="115"/>
      <c r="E29" s="115"/>
      <c r="F29" s="339">
        <f ca="1">F27</f>
        <v>6.4191227095403119E-2</v>
      </c>
      <c r="G29" s="340"/>
      <c r="H29" s="3"/>
    </row>
    <row r="30" spans="3:8" x14ac:dyDescent="0.25">
      <c r="C30" s="3"/>
      <c r="D30" s="3"/>
      <c r="E30" s="3"/>
      <c r="F30" s="3"/>
      <c r="G30" s="3"/>
      <c r="H30" s="3"/>
    </row>
    <row r="31" spans="3:8" x14ac:dyDescent="0.25">
      <c r="C31" s="3"/>
      <c r="D31" s="3"/>
      <c r="E31" s="3"/>
      <c r="F31" s="3"/>
      <c r="G31" s="3"/>
      <c r="H31" s="3"/>
    </row>
    <row r="32" spans="3:8" x14ac:dyDescent="0.25">
      <c r="C32" s="3"/>
      <c r="D32" s="3"/>
      <c r="E32" s="3"/>
      <c r="F32" s="3"/>
      <c r="G32" s="3"/>
      <c r="H32" s="3"/>
    </row>
  </sheetData>
  <mergeCells count="9">
    <mergeCell ref="F29:G29"/>
    <mergeCell ref="F27:G27"/>
    <mergeCell ref="C6:D6"/>
    <mergeCell ref="F6:G6"/>
    <mergeCell ref="C22:G22"/>
    <mergeCell ref="F24:G24"/>
    <mergeCell ref="F25:G25"/>
    <mergeCell ref="F26:G26"/>
    <mergeCell ref="F14:G14"/>
  </mergeCells>
  <pageMargins left="0.7" right="0.7" top="0.75" bottom="0.75" header="0.3" footer="0.3"/>
  <pageSetup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47DB-0D63-4356-ABD5-106579E05941}">
  <dimension ref="C3:L33"/>
  <sheetViews>
    <sheetView showGridLines="0" topLeftCell="B1" zoomScale="90" zoomScaleNormal="90" zoomScaleSheetLayoutView="100" workbookViewId="0">
      <selection activeCell="B2" sqref="B2:M27"/>
    </sheetView>
  </sheetViews>
  <sheetFormatPr defaultColWidth="9.140625" defaultRowHeight="15" x14ac:dyDescent="0.25"/>
  <cols>
    <col min="2" max="2" width="4.140625" customWidth="1"/>
    <col min="3" max="3" width="41.85546875" bestFit="1" customWidth="1"/>
    <col min="4" max="5" width="10.7109375" customWidth="1"/>
    <col min="6" max="6" width="17.140625" customWidth="1"/>
    <col min="7" max="7" width="13.7109375" customWidth="1"/>
    <col min="8" max="12" width="10.7109375" customWidth="1"/>
  </cols>
  <sheetData>
    <row r="3" spans="3:12" x14ac:dyDescent="0.25">
      <c r="C3" s="77" t="s">
        <v>220</v>
      </c>
      <c r="D3" s="78"/>
      <c r="E3" s="78"/>
      <c r="F3" s="79" t="s">
        <v>78</v>
      </c>
      <c r="G3" s="104">
        <f ca="1">Cover!Q14</f>
        <v>45222</v>
      </c>
      <c r="H3" s="3"/>
    </row>
    <row r="4" spans="3:12" x14ac:dyDescent="0.25">
      <c r="C4" s="148"/>
      <c r="D4" s="131"/>
      <c r="E4" s="131"/>
      <c r="F4" s="148"/>
      <c r="G4" s="149"/>
      <c r="H4" s="129"/>
      <c r="I4" s="141"/>
    </row>
    <row r="5" spans="3:12" x14ac:dyDescent="0.25">
      <c r="C5" s="44" t="s">
        <v>41</v>
      </c>
      <c r="D5" s="331"/>
      <c r="E5" s="331"/>
      <c r="F5" s="331"/>
      <c r="G5" s="331"/>
      <c r="H5" s="330" t="s">
        <v>110</v>
      </c>
      <c r="I5" s="330"/>
      <c r="J5" s="330"/>
      <c r="K5" s="330"/>
      <c r="L5" s="330"/>
    </row>
    <row r="6" spans="3:12" x14ac:dyDescent="0.25">
      <c r="C6" s="43"/>
      <c r="D6" s="46" t="s">
        <v>3</v>
      </c>
      <c r="E6" s="46" t="s">
        <v>4</v>
      </c>
      <c r="F6" s="46" t="s">
        <v>5</v>
      </c>
      <c r="G6" s="47" t="s">
        <v>6</v>
      </c>
      <c r="H6" s="95" t="s">
        <v>35</v>
      </c>
      <c r="I6" s="95" t="s">
        <v>36</v>
      </c>
      <c r="J6" s="95" t="s">
        <v>37</v>
      </c>
      <c r="K6" s="95" t="s">
        <v>38</v>
      </c>
      <c r="L6" s="95" t="s">
        <v>39</v>
      </c>
    </row>
    <row r="7" spans="3:12" x14ac:dyDescent="0.25">
      <c r="C7" s="129"/>
      <c r="D7" s="129"/>
      <c r="E7" s="129"/>
      <c r="F7" s="129"/>
      <c r="G7" s="129"/>
      <c r="H7" s="3"/>
    </row>
    <row r="8" spans="3:12" x14ac:dyDescent="0.25">
      <c r="C8" s="4" t="s">
        <v>221</v>
      </c>
      <c r="D8" s="3"/>
      <c r="E8" s="129"/>
      <c r="F8" s="148"/>
      <c r="G8" s="131"/>
      <c r="H8" s="3"/>
    </row>
    <row r="9" spans="3:12" x14ac:dyDescent="0.25">
      <c r="C9" s="10" t="s">
        <v>154</v>
      </c>
      <c r="D9" s="5">
        <f>AER_BS!E13</f>
        <v>47.9</v>
      </c>
      <c r="E9" s="5">
        <f>AER_BS!F13</f>
        <v>170.7</v>
      </c>
      <c r="F9" s="5">
        <f>AER_BS!G13</f>
        <v>181.45500000000001</v>
      </c>
      <c r="G9" s="5">
        <f>AER_BS!H13</f>
        <v>132.202</v>
      </c>
      <c r="H9" s="5">
        <f ca="1">AER_Assumptions!H94</f>
        <v>177.51122035728838</v>
      </c>
      <c r="I9" s="5">
        <f ca="1">AER_Assumptions!I94</f>
        <v>188.88968958219058</v>
      </c>
      <c r="J9" s="5">
        <f ca="1">AER_Assumptions!J94</f>
        <v>198.3341740613001</v>
      </c>
      <c r="K9" s="5">
        <f ca="1">AER_Assumptions!K94</f>
        <v>208.25088276436514</v>
      </c>
      <c r="L9" s="5">
        <f ca="1">AER_Assumptions!L94</f>
        <v>218.66342690258341</v>
      </c>
    </row>
    <row r="10" spans="3:12" x14ac:dyDescent="0.25">
      <c r="C10" s="4" t="s">
        <v>222</v>
      </c>
      <c r="D10" s="25">
        <f>D9</f>
        <v>47.9</v>
      </c>
      <c r="E10" s="25">
        <f t="shared" ref="E10:L10" si="0">E9</f>
        <v>170.7</v>
      </c>
      <c r="F10" s="25">
        <f t="shared" si="0"/>
        <v>181.45500000000001</v>
      </c>
      <c r="G10" s="25">
        <f t="shared" si="0"/>
        <v>132.202</v>
      </c>
      <c r="H10" s="25">
        <f t="shared" ca="1" si="0"/>
        <v>177.51122035728838</v>
      </c>
      <c r="I10" s="25">
        <f ca="1">I9</f>
        <v>188.88968958219058</v>
      </c>
      <c r="J10" s="25">
        <f t="shared" ca="1" si="0"/>
        <v>198.3341740613001</v>
      </c>
      <c r="K10" s="25">
        <f t="shared" ca="1" si="0"/>
        <v>208.25088276436514</v>
      </c>
      <c r="L10" s="25">
        <f t="shared" ca="1" si="0"/>
        <v>218.66342690258341</v>
      </c>
    </row>
    <row r="11" spans="3:12" x14ac:dyDescent="0.25">
      <c r="C11" s="3"/>
      <c r="D11" s="5"/>
      <c r="E11" s="154"/>
      <c r="F11" s="154"/>
      <c r="G11" s="154"/>
      <c r="H11" s="5"/>
      <c r="I11" s="5"/>
      <c r="J11" s="5"/>
      <c r="K11" s="5"/>
      <c r="L11" s="5"/>
    </row>
    <row r="12" spans="3:12" x14ac:dyDescent="0.25">
      <c r="C12" s="4" t="s">
        <v>223</v>
      </c>
      <c r="D12" s="5"/>
      <c r="E12" s="154"/>
      <c r="F12" s="154"/>
      <c r="G12" s="154"/>
      <c r="H12" s="5"/>
      <c r="I12" s="5"/>
      <c r="J12" s="5"/>
      <c r="K12" s="5"/>
      <c r="L12" s="5"/>
    </row>
    <row r="13" spans="3:12" x14ac:dyDescent="0.25">
      <c r="C13" s="8" t="s">
        <v>170</v>
      </c>
      <c r="D13" s="5">
        <f>AER_BS!E26</f>
        <v>1032.5999999999999</v>
      </c>
      <c r="E13" s="5">
        <f>AER_BS!F26</f>
        <v>1109.3</v>
      </c>
      <c r="F13" s="5">
        <f>AER_BS!G26</f>
        <v>1958.096</v>
      </c>
      <c r="G13" s="5">
        <f>AER_BS!H26</f>
        <v>1494.953</v>
      </c>
      <c r="H13" s="5">
        <f ca="1">H24*H22</f>
        <v>1615.19131552</v>
      </c>
      <c r="I13" s="5">
        <f t="shared" ref="I13:L13" ca="1" si="1">I24*I22</f>
        <v>1703.4575683245359</v>
      </c>
      <c r="J13" s="5">
        <f t="shared" ca="1" si="1"/>
        <v>1755.2612793165363</v>
      </c>
      <c r="K13" s="5">
        <f t="shared" ca="1" si="1"/>
        <v>1815.3556460643363</v>
      </c>
      <c r="L13" s="5">
        <f t="shared" ca="1" si="1"/>
        <v>1883.0151073144862</v>
      </c>
    </row>
    <row r="14" spans="3:12" x14ac:dyDescent="0.25">
      <c r="C14" s="10" t="s">
        <v>165</v>
      </c>
      <c r="D14" s="5">
        <f>AER_BS!E27</f>
        <v>2190.1999999999998</v>
      </c>
      <c r="E14" s="5">
        <f>AER_BS!F27</f>
        <v>1750.4</v>
      </c>
      <c r="F14" s="5">
        <f>AER_BS!G27</f>
        <v>2900.6509999999998</v>
      </c>
      <c r="G14" s="5">
        <f>AER_BS!H27</f>
        <v>2503.2020000000002</v>
      </c>
      <c r="H14" s="5">
        <f ca="1">H25*H22</f>
        <v>2826.5848021599995</v>
      </c>
      <c r="I14" s="5">
        <f t="shared" ref="I14:L14" ca="1" si="2">I25*I22</f>
        <v>2981.0507445679377</v>
      </c>
      <c r="J14" s="5">
        <f t="shared" ca="1" si="2"/>
        <v>3071.7072388039378</v>
      </c>
      <c r="K14" s="5">
        <f t="shared" ca="1" si="2"/>
        <v>3176.8723806125881</v>
      </c>
      <c r="L14" s="5">
        <f t="shared" ca="1" si="2"/>
        <v>3295.2764378003508</v>
      </c>
    </row>
    <row r="15" spans="3:12" x14ac:dyDescent="0.25">
      <c r="C15" s="10" t="s">
        <v>166</v>
      </c>
      <c r="D15" s="5">
        <f>AER_BS!E28</f>
        <v>747.8</v>
      </c>
      <c r="E15" s="5">
        <f>AER_BS!F28</f>
        <v>600.29999999999995</v>
      </c>
      <c r="F15" s="5">
        <f>AER_BS!G28</f>
        <v>773.75300000000004</v>
      </c>
      <c r="G15" s="5">
        <f>AER_BS!H28</f>
        <v>806.65499999999997</v>
      </c>
      <c r="H15" s="5">
        <f ca="1">H26*H22</f>
        <v>969.11478931199986</v>
      </c>
      <c r="I15" s="5">
        <f t="shared" ref="I15:L15" ca="1" si="3">I26*I22</f>
        <v>1022.0745409947215</v>
      </c>
      <c r="J15" s="5">
        <f t="shared" ca="1" si="3"/>
        <v>1053.1567675899216</v>
      </c>
      <c r="K15" s="5">
        <f t="shared" ca="1" si="3"/>
        <v>1089.2133876386017</v>
      </c>
      <c r="L15" s="5">
        <f t="shared" ca="1" si="3"/>
        <v>1129.8090643886917</v>
      </c>
    </row>
    <row r="16" spans="3:12" x14ac:dyDescent="0.25">
      <c r="C16" s="4" t="s">
        <v>224</v>
      </c>
      <c r="D16" s="25">
        <f>SUM(D13:D15)</f>
        <v>3970.5999999999995</v>
      </c>
      <c r="E16" s="25">
        <f t="shared" ref="E16:G16" si="4">SUM(E13:E15)</f>
        <v>3460</v>
      </c>
      <c r="F16" s="25">
        <f t="shared" si="4"/>
        <v>5632.4999999999991</v>
      </c>
      <c r="G16" s="25">
        <f t="shared" si="4"/>
        <v>4804.8100000000004</v>
      </c>
      <c r="H16" s="25">
        <f t="shared" ref="H16" ca="1" si="5">SUM(H13:H15)</f>
        <v>5410.8909069919991</v>
      </c>
      <c r="I16" s="25">
        <f t="shared" ref="I16" ca="1" si="6">SUM(I13:I15)</f>
        <v>5706.5828538871947</v>
      </c>
      <c r="J16" s="25">
        <f t="shared" ref="J16" ca="1" si="7">SUM(J13:J15)</f>
        <v>5880.1252857103955</v>
      </c>
      <c r="K16" s="25">
        <f t="shared" ref="K16" ca="1" si="8">SUM(K13:K15)</f>
        <v>6081.4414143155263</v>
      </c>
      <c r="L16" s="25">
        <f t="shared" ref="L16" ca="1" si="9">SUM(L13:L15)</f>
        <v>6308.1006095035282</v>
      </c>
    </row>
    <row r="17" spans="3:12" x14ac:dyDescent="0.25">
      <c r="C17" s="3"/>
      <c r="D17" s="5"/>
      <c r="E17" s="154"/>
      <c r="F17" s="154"/>
      <c r="G17" s="154"/>
      <c r="H17" s="5"/>
      <c r="I17" s="5"/>
      <c r="J17" s="5"/>
      <c r="K17" s="5"/>
      <c r="L17" s="5"/>
    </row>
    <row r="18" spans="3:12" x14ac:dyDescent="0.25">
      <c r="C18" s="4" t="s">
        <v>225</v>
      </c>
      <c r="D18" s="5">
        <f>D10-D16</f>
        <v>-3922.6999999999994</v>
      </c>
      <c r="E18" s="5">
        <f t="shared" ref="E18:L18" si="10">E10-E16</f>
        <v>-3289.3</v>
      </c>
      <c r="F18" s="5">
        <f t="shared" si="10"/>
        <v>-5451.0449999999992</v>
      </c>
      <c r="G18" s="5">
        <f t="shared" si="10"/>
        <v>-4672.6080000000002</v>
      </c>
      <c r="H18" s="5">
        <f t="shared" ca="1" si="10"/>
        <v>-5233.3796866347111</v>
      </c>
      <c r="I18" s="5">
        <f t="shared" ca="1" si="10"/>
        <v>-5517.6931643050038</v>
      </c>
      <c r="J18" s="5">
        <f t="shared" ca="1" si="10"/>
        <v>-5681.791111649095</v>
      </c>
      <c r="K18" s="5">
        <f t="shared" ca="1" si="10"/>
        <v>-5873.1905315511613</v>
      </c>
      <c r="L18" s="5">
        <f t="shared" ca="1" si="10"/>
        <v>-6089.4371826009447</v>
      </c>
    </row>
    <row r="19" spans="3:12" x14ac:dyDescent="0.25">
      <c r="C19" s="10" t="s">
        <v>226</v>
      </c>
      <c r="D19" s="5"/>
      <c r="E19" s="154">
        <f>E18-D18</f>
        <v>633.39999999999918</v>
      </c>
      <c r="F19" s="154">
        <f t="shared" ref="F19:L19" si="11">F18-E18</f>
        <v>-2161.744999999999</v>
      </c>
      <c r="G19" s="154">
        <f t="shared" si="11"/>
        <v>778.43699999999899</v>
      </c>
      <c r="H19" s="154">
        <f t="shared" ca="1" si="11"/>
        <v>-560.77168663471093</v>
      </c>
      <c r="I19" s="154">
        <f t="shared" ca="1" si="11"/>
        <v>-284.31347767029274</v>
      </c>
      <c r="J19" s="154">
        <f t="shared" ca="1" si="11"/>
        <v>-164.09794734409115</v>
      </c>
      <c r="K19" s="154">
        <f t="shared" ca="1" si="11"/>
        <v>-191.39941990206626</v>
      </c>
      <c r="L19" s="154">
        <f t="shared" ca="1" si="11"/>
        <v>-216.2466510497834</v>
      </c>
    </row>
    <row r="20" spans="3:12" x14ac:dyDescent="0.25">
      <c r="C20" s="3"/>
      <c r="D20" s="5"/>
      <c r="E20" s="154"/>
      <c r="F20" s="154"/>
      <c r="G20" s="154"/>
      <c r="H20" s="5"/>
      <c r="I20" s="5"/>
      <c r="J20" s="5"/>
      <c r="K20" s="5"/>
      <c r="L20" s="5"/>
    </row>
    <row r="21" spans="3:12" x14ac:dyDescent="0.25">
      <c r="C21" s="4" t="s">
        <v>227</v>
      </c>
      <c r="D21" s="5"/>
      <c r="E21" s="155"/>
      <c r="F21" s="155"/>
      <c r="G21" s="155"/>
      <c r="H21" s="5"/>
      <c r="I21" s="5"/>
      <c r="J21" s="5"/>
      <c r="K21" s="5"/>
      <c r="L21" s="5"/>
    </row>
    <row r="22" spans="3:12" x14ac:dyDescent="0.25">
      <c r="C22" s="10" t="s">
        <v>28</v>
      </c>
      <c r="D22" s="5">
        <f>AER_IS!E15</f>
        <v>4937.3</v>
      </c>
      <c r="E22" s="5">
        <f>AER_IS!F15</f>
        <v>4493.6050000000005</v>
      </c>
      <c r="F22" s="5">
        <f>AER_IS!G15</f>
        <v>5223.9739999999993</v>
      </c>
      <c r="G22" s="5">
        <f>AER_IS!H15</f>
        <v>7013.4739999999993</v>
      </c>
      <c r="H22" s="5">
        <f ca="1">AER_IS!I15</f>
        <v>8075.956577599999</v>
      </c>
      <c r="I22" s="5">
        <f ca="1">AER_IS!J15</f>
        <v>8517.2878416226795</v>
      </c>
      <c r="J22" s="5">
        <f ca="1">AER_IS!K15</f>
        <v>8776.3063965826805</v>
      </c>
      <c r="K22" s="5">
        <f ca="1">AER_IS!L15</f>
        <v>9076.7782303216809</v>
      </c>
      <c r="L22" s="5">
        <f ca="1">AER_IS!M15</f>
        <v>9415.0755365724308</v>
      </c>
    </row>
    <row r="23" spans="3:12" x14ac:dyDescent="0.25">
      <c r="C23" s="153" t="s">
        <v>228</v>
      </c>
      <c r="D23" s="150">
        <f>D9/D22</f>
        <v>9.7016588013691691E-3</v>
      </c>
      <c r="E23" s="150">
        <f t="shared" ref="E23:G23" si="12">E9/E22</f>
        <v>3.7987317532359871E-2</v>
      </c>
      <c r="F23" s="150">
        <f t="shared" si="12"/>
        <v>3.4735050365870893E-2</v>
      </c>
      <c r="G23" s="150">
        <f t="shared" si="12"/>
        <v>1.8849716987615554E-2</v>
      </c>
      <c r="H23" s="150">
        <v>0.02</v>
      </c>
      <c r="I23" s="150">
        <v>0.02</v>
      </c>
      <c r="J23" s="150">
        <v>0.02</v>
      </c>
      <c r="K23" s="150">
        <v>0.02</v>
      </c>
      <c r="L23" s="150">
        <v>0.02</v>
      </c>
    </row>
    <row r="24" spans="3:12" x14ac:dyDescent="0.25">
      <c r="C24" s="153" t="s">
        <v>229</v>
      </c>
      <c r="D24" s="150">
        <f>D13/D22</f>
        <v>0.20914264881615455</v>
      </c>
      <c r="E24" s="150">
        <f t="shared" ref="E24:G24" si="13">E13/E22</f>
        <v>0.24686192934180903</v>
      </c>
      <c r="F24" s="150">
        <f t="shared" si="13"/>
        <v>0.37482881806073315</v>
      </c>
      <c r="G24" s="150">
        <f t="shared" si="13"/>
        <v>0.21315442247308539</v>
      </c>
      <c r="H24" s="70">
        <v>0.2</v>
      </c>
      <c r="I24" s="70">
        <v>0.2</v>
      </c>
      <c r="J24" s="70">
        <v>0.2</v>
      </c>
      <c r="K24" s="70">
        <v>0.2</v>
      </c>
      <c r="L24" s="70">
        <v>0.2</v>
      </c>
    </row>
    <row r="25" spans="3:12" x14ac:dyDescent="0.25">
      <c r="C25" s="153" t="s">
        <v>230</v>
      </c>
      <c r="D25" s="150">
        <f>D14/D22</f>
        <v>0.44360277884673804</v>
      </c>
      <c r="E25" s="150">
        <f t="shared" ref="E25:G25" si="14">E14/E22</f>
        <v>0.38953134510042603</v>
      </c>
      <c r="F25" s="150">
        <f t="shared" si="14"/>
        <v>0.55525754913787861</v>
      </c>
      <c r="G25" s="150">
        <f t="shared" si="14"/>
        <v>0.35691327864051403</v>
      </c>
      <c r="H25" s="70">
        <v>0.35</v>
      </c>
      <c r="I25" s="70">
        <v>0.35</v>
      </c>
      <c r="J25" s="70">
        <v>0.35</v>
      </c>
      <c r="K25" s="70">
        <v>0.35</v>
      </c>
      <c r="L25" s="70">
        <v>0.35</v>
      </c>
    </row>
    <row r="26" spans="3:12" x14ac:dyDescent="0.25">
      <c r="C26" s="153" t="s">
        <v>231</v>
      </c>
      <c r="D26" s="150">
        <f>D15/D22</f>
        <v>0.15145929961719967</v>
      </c>
      <c r="E26" s="150">
        <f t="shared" ref="E26:G26" si="15">E15/E22</f>
        <v>0.1335898460145028</v>
      </c>
      <c r="F26" s="150">
        <f t="shared" si="15"/>
        <v>0.14811578311836932</v>
      </c>
      <c r="G26" s="150">
        <f t="shared" si="15"/>
        <v>0.11501504104813108</v>
      </c>
      <c r="H26" s="70">
        <f>0.12</f>
        <v>0.12</v>
      </c>
      <c r="I26" s="70">
        <f t="shared" ref="I26:L26" si="16">0.12</f>
        <v>0.12</v>
      </c>
      <c r="J26" s="70">
        <f t="shared" si="16"/>
        <v>0.12</v>
      </c>
      <c r="K26" s="70">
        <f t="shared" si="16"/>
        <v>0.12</v>
      </c>
      <c r="L26" s="70">
        <f t="shared" si="16"/>
        <v>0.12</v>
      </c>
    </row>
    <row r="27" spans="3:12" x14ac:dyDescent="0.25">
      <c r="C27" s="3"/>
      <c r="D27" s="3"/>
      <c r="E27" s="129"/>
      <c r="F27" s="129"/>
      <c r="G27" s="129"/>
      <c r="H27" s="3"/>
    </row>
    <row r="28" spans="3:12" ht="15.75" x14ac:dyDescent="0.25">
      <c r="C28" s="4"/>
      <c r="D28" s="152"/>
      <c r="E28" s="129"/>
      <c r="F28" s="151"/>
      <c r="G28" s="151"/>
      <c r="H28" s="3"/>
    </row>
    <row r="29" spans="3:12" ht="15.75" x14ac:dyDescent="0.25">
      <c r="C29" s="10"/>
      <c r="D29" s="152"/>
      <c r="E29" s="129"/>
      <c r="F29" s="129"/>
      <c r="G29" s="129"/>
      <c r="H29" s="3"/>
    </row>
    <row r="30" spans="3:12" ht="15.75" x14ac:dyDescent="0.25">
      <c r="C30" s="10"/>
      <c r="D30" s="152"/>
      <c r="E30" s="3"/>
      <c r="F30" s="3"/>
      <c r="G30" s="3"/>
      <c r="H30" s="3"/>
    </row>
    <row r="31" spans="3:12" ht="15.75" x14ac:dyDescent="0.25">
      <c r="C31" s="10"/>
      <c r="D31" s="152"/>
      <c r="E31" s="3"/>
      <c r="F31" s="3"/>
      <c r="G31" s="3"/>
      <c r="H31" s="3"/>
    </row>
    <row r="32" spans="3:12" ht="15.75" x14ac:dyDescent="0.25">
      <c r="D32" s="152"/>
    </row>
    <row r="33" spans="4:4" ht="15.75" x14ac:dyDescent="0.25">
      <c r="D33" s="321"/>
    </row>
  </sheetData>
  <mergeCells count="2">
    <mergeCell ref="D5:G5"/>
    <mergeCell ref="H5:L5"/>
  </mergeCells>
  <pageMargins left="0.7" right="0.7" top="0.75" bottom="0.75" header="0.3" footer="0.3"/>
  <pageSetup scale="4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50AC-FAAE-473C-989D-DE3035B437BA}">
  <dimension ref="C3:R53"/>
  <sheetViews>
    <sheetView showGridLines="0" zoomScale="73" zoomScaleNormal="90" zoomScaleSheetLayoutView="90" zoomScalePageLayoutView="65" workbookViewId="0">
      <selection activeCell="B2" sqref="B2:Q35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62.140625" style="3" customWidth="1"/>
    <col min="4" max="4" width="9.42578125" style="3" hidden="1" customWidth="1"/>
    <col min="5" max="5" width="11" style="3" hidden="1" customWidth="1"/>
    <col min="6" max="6" width="11.5703125" style="3" bestFit="1" customWidth="1"/>
    <col min="7" max="8" width="11.140625" style="3" bestFit="1" customWidth="1"/>
    <col min="9" max="9" width="11.5703125" style="3" bestFit="1" customWidth="1"/>
    <col min="10" max="10" width="11.5703125" style="3" customWidth="1"/>
    <col min="11" max="11" width="9.140625" style="3"/>
    <col min="12" max="12" width="28.140625" style="3" bestFit="1" customWidth="1"/>
    <col min="13" max="13" width="13.28515625" style="3" bestFit="1" customWidth="1"/>
    <col min="14" max="14" width="9.140625" style="3"/>
    <col min="15" max="15" width="30.7109375" style="3" customWidth="1"/>
    <col min="16" max="16" width="15.140625" style="3" bestFit="1" customWidth="1"/>
    <col min="17" max="17" width="9.28515625" style="3" customWidth="1"/>
    <col min="18" max="16384" width="9.140625" style="3"/>
  </cols>
  <sheetData>
    <row r="3" spans="3:17" x14ac:dyDescent="0.25">
      <c r="C3" s="94" t="s">
        <v>232</v>
      </c>
      <c r="D3" s="17"/>
      <c r="E3" s="17"/>
      <c r="F3" s="17"/>
      <c r="G3" s="17"/>
      <c r="H3" s="17"/>
      <c r="I3" s="103"/>
      <c r="J3" s="17"/>
      <c r="L3" s="112" t="s">
        <v>61</v>
      </c>
      <c r="M3" s="119"/>
      <c r="N3" s="129"/>
      <c r="O3" s="112" t="s">
        <v>311</v>
      </c>
      <c r="P3" s="119"/>
      <c r="Q3" s="129"/>
    </row>
    <row r="4" spans="3:17" x14ac:dyDescent="0.25">
      <c r="C4" s="100" t="s">
        <v>124</v>
      </c>
      <c r="D4" s="17"/>
      <c r="E4" s="17"/>
      <c r="F4" s="17"/>
      <c r="G4" s="17"/>
      <c r="H4" s="17"/>
      <c r="I4" s="94" t="s">
        <v>116</v>
      </c>
      <c r="J4" s="104">
        <f ca="1">Cover!Q14</f>
        <v>45222</v>
      </c>
      <c r="N4" s="129"/>
      <c r="O4" s="129"/>
      <c r="P4" s="129"/>
      <c r="Q4" s="129"/>
    </row>
    <row r="5" spans="3:17" x14ac:dyDescent="0.25">
      <c r="C5" s="116" t="s">
        <v>109</v>
      </c>
      <c r="D5" s="117" t="str">
        <f ca="1">Cover!R17</f>
        <v>Base</v>
      </c>
      <c r="E5" s="117">
        <f>Cover!Q17</f>
        <v>1</v>
      </c>
      <c r="F5" s="116">
        <f>Cover!Q17</f>
        <v>1</v>
      </c>
      <c r="G5" s="17"/>
      <c r="H5" s="17"/>
      <c r="I5" s="94" t="s">
        <v>117</v>
      </c>
      <c r="J5" s="104">
        <v>45291</v>
      </c>
      <c r="L5" s="69" t="s">
        <v>59</v>
      </c>
      <c r="M5" s="68">
        <f ca="1">F34</f>
        <v>6.4191227095403119E-2</v>
      </c>
      <c r="N5" s="129"/>
      <c r="O5" s="129" t="s">
        <v>318</v>
      </c>
      <c r="P5" s="314">
        <f ca="1">AER_Assumptions!H166</f>
        <v>0.84437758252083306</v>
      </c>
      <c r="Q5" s="129"/>
    </row>
    <row r="6" spans="3:17" x14ac:dyDescent="0.25">
      <c r="C6"/>
      <c r="D6"/>
      <c r="E6"/>
      <c r="F6"/>
      <c r="G6"/>
      <c r="H6"/>
      <c r="I6"/>
      <c r="J6"/>
      <c r="L6" s="6" t="s">
        <v>42</v>
      </c>
      <c r="M6" s="263">
        <f ca="1">AER_WACC!D10</f>
        <v>0.14099999999999999</v>
      </c>
      <c r="N6" s="129"/>
      <c r="O6" s="129"/>
      <c r="P6" s="180"/>
      <c r="Q6" s="129"/>
    </row>
    <row r="7" spans="3:17" x14ac:dyDescent="0.25">
      <c r="D7" s="21" t="s">
        <v>44</v>
      </c>
      <c r="E7" s="21"/>
      <c r="F7" s="334" t="s">
        <v>110</v>
      </c>
      <c r="G7" s="334"/>
      <c r="H7" s="334"/>
      <c r="I7" s="334"/>
      <c r="J7" s="334"/>
      <c r="N7" s="129"/>
      <c r="O7" s="280" t="s">
        <v>314</v>
      </c>
      <c r="P7" s="277"/>
      <c r="Q7" s="129"/>
    </row>
    <row r="8" spans="3:17" x14ac:dyDescent="0.25">
      <c r="C8" s="64" t="s">
        <v>41</v>
      </c>
      <c r="D8" s="3" t="s">
        <v>0</v>
      </c>
      <c r="E8" s="3" t="s">
        <v>1</v>
      </c>
      <c r="F8" s="105" t="s">
        <v>35</v>
      </c>
      <c r="G8" s="105" t="s">
        <v>36</v>
      </c>
      <c r="H8" s="105" t="s">
        <v>37</v>
      </c>
      <c r="I8" s="105" t="s">
        <v>38</v>
      </c>
      <c r="J8" s="105" t="s">
        <v>39</v>
      </c>
      <c r="L8" s="1" t="s">
        <v>62</v>
      </c>
      <c r="M8" s="268"/>
      <c r="N8" s="129"/>
      <c r="O8" s="280"/>
      <c r="P8" s="278"/>
      <c r="Q8" s="129"/>
    </row>
    <row r="9" spans="3:17" x14ac:dyDescent="0.25">
      <c r="C9" s="17" t="s">
        <v>43</v>
      </c>
      <c r="D9" s="19" t="e">
        <f>AER_Hist_IS!#REF!</f>
        <v>#REF!</v>
      </c>
      <c r="E9" s="19" t="e">
        <f>AER_Hist_IS!#REF!</f>
        <v>#REF!</v>
      </c>
      <c r="F9" s="19">
        <f ca="1">AER_IS!I15</f>
        <v>8075.956577599999</v>
      </c>
      <c r="G9" s="19">
        <f ca="1">AER_IS!J15</f>
        <v>8517.2878416226795</v>
      </c>
      <c r="H9" s="19">
        <f ca="1">AER_IS!K15</f>
        <v>8776.3063965826805</v>
      </c>
      <c r="I9" s="19">
        <f ca="1">AER_IS!L15</f>
        <v>9076.7782303216809</v>
      </c>
      <c r="J9" s="19">
        <f ca="1">AER_IS!M15</f>
        <v>9415.0755365724308</v>
      </c>
      <c r="L9" s="1"/>
      <c r="M9" s="268"/>
      <c r="N9" s="129"/>
      <c r="O9" s="281" t="s">
        <v>320</v>
      </c>
      <c r="P9" s="308">
        <f ca="1">AER_BS!M40</f>
        <v>27022.813164195835</v>
      </c>
      <c r="Q9" s="129"/>
    </row>
    <row r="10" spans="3:17" x14ac:dyDescent="0.25">
      <c r="C10" s="18" t="s">
        <v>45</v>
      </c>
      <c r="D10" s="71"/>
      <c r="E10" s="71" t="e">
        <f>(E9-D9)/D9</f>
        <v>#REF!</v>
      </c>
      <c r="F10" s="15"/>
      <c r="G10" s="15">
        <f t="shared" ref="G10:J10" ca="1" si="0">(G9-F9)/F9</f>
        <v>5.4647552866589906E-2</v>
      </c>
      <c r="H10" s="15">
        <f t="shared" ca="1" si="0"/>
        <v>3.0410919505880384E-2</v>
      </c>
      <c r="I10" s="15">
        <f t="shared" ca="1" si="0"/>
        <v>3.4236707352878905E-2</v>
      </c>
      <c r="J10" s="15">
        <f t="shared" ca="1" si="0"/>
        <v>3.7270636966830535E-2</v>
      </c>
      <c r="L10" s="22" t="s">
        <v>73</v>
      </c>
      <c r="M10" s="264">
        <f ca="1">J14</f>
        <v>5728.188136956529</v>
      </c>
      <c r="N10" s="129"/>
      <c r="O10" s="281" t="s">
        <v>312</v>
      </c>
      <c r="P10" s="279">
        <f>AER_BS!M39</f>
        <v>77.5</v>
      </c>
      <c r="Q10" s="129"/>
    </row>
    <row r="11" spans="3:17" x14ac:dyDescent="0.25">
      <c r="C11" s="3" t="s">
        <v>46</v>
      </c>
      <c r="E11" s="13" t="e">
        <f>SUM(AER_Hist_IS!#REF!,AER_Hist_IS!#REF!)</f>
        <v>#REF!</v>
      </c>
      <c r="F11" s="13">
        <f ca="1">-AER_IS!I26</f>
        <v>-5215.7627425999999</v>
      </c>
      <c r="G11" s="13">
        <f ca="1">-AER_IS!J26</f>
        <v>-6303.1371200306803</v>
      </c>
      <c r="H11" s="13">
        <f ca="1">-AER_IS!K26</f>
        <v>-6431.9297178072638</v>
      </c>
      <c r="I11" s="13">
        <f ca="1">-AER_IS!L26</f>
        <v>-6560.1319596584472</v>
      </c>
      <c r="J11" s="13">
        <f ca="1">-AER_IS!M26</f>
        <v>-6737.6092018019363</v>
      </c>
      <c r="L11" s="61" t="s">
        <v>60</v>
      </c>
      <c r="M11" s="265">
        <v>12.1</v>
      </c>
      <c r="N11" s="129"/>
      <c r="O11" s="282" t="s">
        <v>321</v>
      </c>
      <c r="P11" s="285">
        <f ca="1">P9-P10</f>
        <v>26945.313164195835</v>
      </c>
      <c r="Q11" s="129"/>
    </row>
    <row r="12" spans="3:17" x14ac:dyDescent="0.25">
      <c r="C12" s="3" t="s">
        <v>47</v>
      </c>
      <c r="E12" s="13" t="e">
        <f>-AER_Hist_IS!#REF!</f>
        <v>#REF!</v>
      </c>
      <c r="F12" s="13">
        <f ca="1">AER_IS!I18</f>
        <v>2456.9533800000004</v>
      </c>
      <c r="G12" s="13">
        <f ca="1">AER_IS!J18</f>
        <v>2635.3281953880005</v>
      </c>
      <c r="H12" s="13">
        <f ca="1">AER_IS!K18</f>
        <v>2767.0946051574006</v>
      </c>
      <c r="I12" s="13">
        <f ca="1">AER_IS!L18</f>
        <v>2905.4493354152705</v>
      </c>
      <c r="J12" s="13">
        <f ca="1">AER_IS!M18</f>
        <v>3050.721802186034</v>
      </c>
      <c r="L12" s="22" t="s">
        <v>63</v>
      </c>
      <c r="M12" s="266">
        <f ca="1">M11*M10</f>
        <v>69311.076457174</v>
      </c>
      <c r="N12" s="129"/>
      <c r="O12" s="184"/>
      <c r="P12" s="185"/>
      <c r="Q12" s="129"/>
    </row>
    <row r="13" spans="3:17" x14ac:dyDescent="0.25">
      <c r="C13" s="64" t="s">
        <v>123</v>
      </c>
      <c r="D13" s="64"/>
      <c r="E13" s="34" t="e">
        <f>E12/E9</f>
        <v>#REF!</v>
      </c>
      <c r="F13" s="34">
        <f ca="1">F12/F9</f>
        <v>0.30423063279150941</v>
      </c>
      <c r="G13" s="34">
        <f ca="1">$F$13</f>
        <v>0.30423063279150941</v>
      </c>
      <c r="H13" s="34">
        <f t="shared" ref="H13:J13" ca="1" si="1">$F$13</f>
        <v>0.30423063279150941</v>
      </c>
      <c r="I13" s="34">
        <f t="shared" ca="1" si="1"/>
        <v>0.30423063279150941</v>
      </c>
      <c r="J13" s="34">
        <f t="shared" ca="1" si="1"/>
        <v>0.30423063279150941</v>
      </c>
      <c r="L13" s="73" t="s">
        <v>64</v>
      </c>
      <c r="M13" s="267">
        <f ca="1">+M12/(1+$F$34)^J29</f>
        <v>53409.711242647361</v>
      </c>
      <c r="N13" s="129"/>
      <c r="O13" s="280" t="s">
        <v>315</v>
      </c>
      <c r="P13" s="277"/>
      <c r="Q13" s="129"/>
    </row>
    <row r="14" spans="3:17" x14ac:dyDescent="0.25">
      <c r="C14" s="94" t="s">
        <v>29</v>
      </c>
      <c r="D14" s="94"/>
      <c r="E14" s="106" t="e">
        <f>SUM(E11:E12,E9)</f>
        <v>#REF!</v>
      </c>
      <c r="F14" s="106">
        <f t="shared" ref="F14:J14" ca="1" si="2">SUM(F11:F12,F9)</f>
        <v>5317.1472149999991</v>
      </c>
      <c r="G14" s="106">
        <f ca="1">SUM(G11:G12,G9)</f>
        <v>4849.4789169799997</v>
      </c>
      <c r="H14" s="106">
        <f t="shared" ca="1" si="2"/>
        <v>5111.4712839328167</v>
      </c>
      <c r="I14" s="106">
        <f t="shared" ca="1" si="2"/>
        <v>5422.0956060785047</v>
      </c>
      <c r="J14" s="106">
        <f t="shared" ca="1" si="2"/>
        <v>5728.188136956529</v>
      </c>
      <c r="L14" s="58"/>
      <c r="M14" s="59"/>
      <c r="N14" s="129"/>
      <c r="O14" s="280"/>
      <c r="P14" s="278"/>
      <c r="Q14" s="129"/>
    </row>
    <row r="15" spans="3:17" x14ac:dyDescent="0.25">
      <c r="C15" s="3" t="s">
        <v>48</v>
      </c>
      <c r="E15" s="71" t="e">
        <f>E14/E9</f>
        <v>#REF!</v>
      </c>
      <c r="F15" s="15">
        <f t="shared" ref="F15:J15" ca="1" si="3">F14/F9</f>
        <v>0.6583922491297175</v>
      </c>
      <c r="G15" s="75">
        <f t="shared" ca="1" si="3"/>
        <v>0.56936891263452905</v>
      </c>
      <c r="H15" s="75">
        <f t="shared" ca="1" si="3"/>
        <v>0.58241714144382217</v>
      </c>
      <c r="I15" s="75">
        <f t="shared" ca="1" si="3"/>
        <v>0.59735904838630671</v>
      </c>
      <c r="J15" s="75">
        <f t="shared" ca="1" si="3"/>
        <v>0.60840596707967387</v>
      </c>
      <c r="L15" s="1" t="s">
        <v>121</v>
      </c>
      <c r="M15" s="269"/>
      <c r="N15" s="129"/>
      <c r="O15" s="281" t="s">
        <v>313</v>
      </c>
      <c r="P15" s="284">
        <f ca="1">P11</f>
        <v>26945.313164195835</v>
      </c>
      <c r="Q15" s="129"/>
    </row>
    <row r="16" spans="3:17" x14ac:dyDescent="0.25">
      <c r="C16" s="3" t="s">
        <v>55</v>
      </c>
      <c r="E16" s="13" t="e">
        <f>-E12</f>
        <v>#REF!</v>
      </c>
      <c r="F16" s="13">
        <f t="shared" ref="F16:J16" ca="1" si="4">-F12</f>
        <v>-2456.9533800000004</v>
      </c>
      <c r="G16" s="13">
        <f t="shared" ca="1" si="4"/>
        <v>-2635.3281953880005</v>
      </c>
      <c r="H16" s="13">
        <f t="shared" ca="1" si="4"/>
        <v>-2767.0946051574006</v>
      </c>
      <c r="I16" s="13">
        <f t="shared" ca="1" si="4"/>
        <v>-2905.4493354152705</v>
      </c>
      <c r="J16" s="13">
        <f t="shared" ca="1" si="4"/>
        <v>-3050.721802186034</v>
      </c>
      <c r="L16" s="23" t="s">
        <v>65</v>
      </c>
      <c r="M16" s="270">
        <f ca="1">SUM(F31:J31)</f>
        <v>8232.4094318646166</v>
      </c>
      <c r="N16" s="129"/>
      <c r="O16" s="281" t="s">
        <v>317</v>
      </c>
      <c r="P16" s="286">
        <f ca="1">AER_IS!M40</f>
        <v>182.19684552354374</v>
      </c>
      <c r="Q16" s="129"/>
    </row>
    <row r="17" spans="3:18" x14ac:dyDescent="0.25">
      <c r="C17" s="3" t="s">
        <v>56</v>
      </c>
      <c r="E17" s="13" t="e">
        <f>SUM(E14,E16)</f>
        <v>#REF!</v>
      </c>
      <c r="F17" s="13">
        <f ca="1">SUM(F14,F16)</f>
        <v>2860.1938349999987</v>
      </c>
      <c r="G17" s="13">
        <f t="shared" ref="G17:J17" ca="1" si="5">SUM(G14,G16)</f>
        <v>2214.1507215919992</v>
      </c>
      <c r="H17" s="13">
        <f t="shared" ca="1" si="5"/>
        <v>2344.3766787754162</v>
      </c>
      <c r="I17" s="13">
        <f t="shared" ca="1" si="5"/>
        <v>2516.6462706632342</v>
      </c>
      <c r="J17" s="13">
        <f t="shared" ca="1" si="5"/>
        <v>2677.466334770495</v>
      </c>
      <c r="L17" s="23"/>
      <c r="M17" s="270"/>
      <c r="N17" s="129"/>
      <c r="O17" s="291" t="s">
        <v>322</v>
      </c>
      <c r="P17" s="283">
        <f ca="1">P15/P16</f>
        <v>147.89121670448418</v>
      </c>
      <c r="Q17" s="129"/>
    </row>
    <row r="18" spans="3:18" x14ac:dyDescent="0.25">
      <c r="C18" s="3" t="s">
        <v>48</v>
      </c>
      <c r="E18" s="71" t="e">
        <f>E17/E9</f>
        <v>#REF!</v>
      </c>
      <c r="F18" s="15">
        <f t="shared" ref="F18:J18" ca="1" si="6">F17/F9</f>
        <v>0.35416161633820809</v>
      </c>
      <c r="G18" s="15">
        <f t="shared" ca="1" si="6"/>
        <v>0.25995959779259592</v>
      </c>
      <c r="H18" s="15">
        <f t="shared" ca="1" si="6"/>
        <v>0.26712566458348241</v>
      </c>
      <c r="I18" s="15">
        <f t="shared" ca="1" si="6"/>
        <v>0.27726206444663176</v>
      </c>
      <c r="J18" s="15">
        <f t="shared" ca="1" si="6"/>
        <v>0.28438075981121969</v>
      </c>
      <c r="L18" s="23" t="s">
        <v>64</v>
      </c>
      <c r="M18" s="271">
        <f ca="1">M13</f>
        <v>53409.711242647361</v>
      </c>
      <c r="N18" s="129"/>
      <c r="O18" s="184"/>
      <c r="P18" s="183"/>
      <c r="Q18" s="129"/>
    </row>
    <row r="19" spans="3:18" x14ac:dyDescent="0.25">
      <c r="C19" s="3" t="s">
        <v>49</v>
      </c>
      <c r="E19" s="13" t="e">
        <f>AER_Hist_IS!#REF!</f>
        <v>#REF!</v>
      </c>
      <c r="F19" s="13">
        <f ca="1">AER_IS!I32</f>
        <v>-403.28733073499984</v>
      </c>
      <c r="G19" s="13">
        <f ca="1">AER_IS!J32</f>
        <v>-287.8395938069599</v>
      </c>
      <c r="H19" s="13">
        <f ca="1">AER_IS!K32</f>
        <v>-304.76896824080416</v>
      </c>
      <c r="I19" s="13">
        <f ca="1">AER_IS!L32</f>
        <v>-327.16401518622041</v>
      </c>
      <c r="J19" s="13">
        <f ca="1">AER_IS!M32</f>
        <v>-348.0706235201643</v>
      </c>
      <c r="L19" s="23" t="s">
        <v>118</v>
      </c>
      <c r="M19" s="271">
        <f ca="1">SUM(M16,M18)</f>
        <v>61642.120674511978</v>
      </c>
      <c r="N19" s="129"/>
      <c r="O19" s="280" t="s">
        <v>319</v>
      </c>
      <c r="P19" s="277"/>
      <c r="Q19" s="129"/>
    </row>
    <row r="20" spans="3:18" x14ac:dyDescent="0.25">
      <c r="C20" s="38" t="s">
        <v>50</v>
      </c>
      <c r="D20" s="38"/>
      <c r="E20" s="38"/>
      <c r="F20" s="38">
        <f ca="1">AER_Assumptions!H77</f>
        <v>0.14099999999999999</v>
      </c>
      <c r="G20" s="38">
        <f ca="1">AER_Assumptions!I77</f>
        <v>0.13</v>
      </c>
      <c r="H20" s="38">
        <f ca="1">AER_Assumptions!J77</f>
        <v>0.13</v>
      </c>
      <c r="I20" s="38">
        <f ca="1">AER_Assumptions!K77</f>
        <v>0.13</v>
      </c>
      <c r="J20" s="38">
        <f ca="1">AER_Assumptions!L77</f>
        <v>0.13</v>
      </c>
      <c r="L20" s="23" t="s">
        <v>67</v>
      </c>
      <c r="M20" s="272">
        <f>-AER_BS!H29</f>
        <v>-46532.959999999999</v>
      </c>
      <c r="N20" s="129"/>
      <c r="O20" s="280"/>
      <c r="P20" s="278"/>
      <c r="Q20" s="129"/>
    </row>
    <row r="21" spans="3:18" x14ac:dyDescent="0.25">
      <c r="C21" s="17" t="s">
        <v>51</v>
      </c>
      <c r="D21" s="17"/>
      <c r="E21" s="20" t="e">
        <f>E17*(1-E20)</f>
        <v>#REF!</v>
      </c>
      <c r="F21" s="20">
        <f t="shared" ref="F21:J21" ca="1" si="7">F17*(1-F20)</f>
        <v>2456.9065042649986</v>
      </c>
      <c r="G21" s="20">
        <f t="shared" ca="1" si="7"/>
        <v>1926.3111277850392</v>
      </c>
      <c r="H21" s="20">
        <f t="shared" ca="1" si="7"/>
        <v>2039.6077105346121</v>
      </c>
      <c r="I21" s="20">
        <f t="shared" ca="1" si="7"/>
        <v>2189.482255477014</v>
      </c>
      <c r="J21" s="20">
        <f t="shared" ca="1" si="7"/>
        <v>2329.3957112503308</v>
      </c>
      <c r="L21" s="23" t="s">
        <v>68</v>
      </c>
      <c r="M21" s="272">
        <f>AER_BS!H11</f>
        <v>1597.1469999999999</v>
      </c>
      <c r="N21" s="129"/>
      <c r="O21" s="281" t="s">
        <v>316</v>
      </c>
      <c r="P21" s="287">
        <f ca="1">P17</f>
        <v>147.89121670448418</v>
      </c>
      <c r="Q21" s="129"/>
    </row>
    <row r="22" spans="3:18" x14ac:dyDescent="0.25">
      <c r="C22" s="3" t="s">
        <v>47</v>
      </c>
      <c r="E22" s="13" t="e">
        <f>E12</f>
        <v>#REF!</v>
      </c>
      <c r="F22" s="13">
        <f t="shared" ref="F22:J22" ca="1" si="8">F12</f>
        <v>2456.9533800000004</v>
      </c>
      <c r="G22" s="13">
        <f t="shared" ca="1" si="8"/>
        <v>2635.3281953880005</v>
      </c>
      <c r="H22" s="13">
        <f t="shared" ca="1" si="8"/>
        <v>2767.0946051574006</v>
      </c>
      <c r="I22" s="13">
        <f t="shared" ca="1" si="8"/>
        <v>2905.4493354152705</v>
      </c>
      <c r="J22" s="13">
        <f t="shared" ca="1" si="8"/>
        <v>3050.721802186034</v>
      </c>
      <c r="L22" s="23" t="s">
        <v>119</v>
      </c>
      <c r="M22" s="273">
        <f ca="1">SUM(M19:M21)</f>
        <v>16706.30767451198</v>
      </c>
      <c r="N22" s="129"/>
      <c r="O22" s="281" t="s">
        <v>323</v>
      </c>
      <c r="P22" s="286">
        <f ca="1">J29</f>
        <v>4.1888888888888891</v>
      </c>
      <c r="Q22" s="129"/>
    </row>
    <row r="23" spans="3:18" x14ac:dyDescent="0.25">
      <c r="C23" s="3" t="s">
        <v>52</v>
      </c>
      <c r="E23" s="56">
        <v>-3623</v>
      </c>
      <c r="F23" s="56">
        <f ca="1">-AER_Assumptions!H82</f>
        <v>-4441.7761176799995</v>
      </c>
      <c r="G23" s="56">
        <f ca="1">-AER_Assumptions!I82</f>
        <v>-4684.5083128924744</v>
      </c>
      <c r="H23" s="56">
        <f ca="1">-AER_Assumptions!J82</f>
        <v>-1316.445959487402</v>
      </c>
      <c r="I23" s="56">
        <f ca="1">-AER_Assumptions!K82</f>
        <v>-1361.5167345482521</v>
      </c>
      <c r="J23" s="56">
        <f ca="1">-AER_Assumptions!L82</f>
        <v>-1412.2613304858646</v>
      </c>
      <c r="L23" s="23" t="s">
        <v>69</v>
      </c>
      <c r="M23" s="274">
        <f ca="1">AER_IS!M40</f>
        <v>182.19684552354374</v>
      </c>
      <c r="N23" s="129"/>
      <c r="O23" s="281" t="s">
        <v>324</v>
      </c>
      <c r="P23" s="288">
        <f ca="1">1/(1+AER_WACC!G19)^P22</f>
        <v>0.53223148543073706</v>
      </c>
      <c r="Q23" s="129"/>
    </row>
    <row r="24" spans="3:18" x14ac:dyDescent="0.25">
      <c r="C24" s="64" t="s">
        <v>122</v>
      </c>
      <c r="D24" s="64"/>
      <c r="E24" s="65" t="e">
        <f>-E23/E9</f>
        <v>#REF!</v>
      </c>
      <c r="F24" s="65">
        <f ca="1">AER_Assumptions!H89</f>
        <v>1E-3</v>
      </c>
      <c r="G24" s="65">
        <f ca="1">AER_Assumptions!I89</f>
        <v>1E-3</v>
      </c>
      <c r="H24" s="65">
        <f ca="1">AER_Assumptions!J89</f>
        <v>1E-3</v>
      </c>
      <c r="I24" s="65">
        <f ca="1">AER_Assumptions!K89</f>
        <v>1E-3</v>
      </c>
      <c r="J24" s="65">
        <f ca="1">AER_Assumptions!L89</f>
        <v>1E-3</v>
      </c>
      <c r="L24" s="60" t="s">
        <v>120</v>
      </c>
      <c r="M24" s="275">
        <f ca="1">M22/M23</f>
        <v>91.693726236073431</v>
      </c>
      <c r="N24" s="129"/>
      <c r="O24" s="304" t="s">
        <v>327</v>
      </c>
      <c r="P24" s="315">
        <f ca="1">P5</f>
        <v>0.84437758252083306</v>
      </c>
      <c r="Q24" s="129"/>
    </row>
    <row r="25" spans="3:18" x14ac:dyDescent="0.25">
      <c r="C25" s="3" t="s">
        <v>53</v>
      </c>
      <c r="E25" s="13" t="e">
        <f>-((AER_BS!#REF!-AER_BS!#REF!)-(AER_BS!#REF!-AER_BS!#REF!))</f>
        <v>#REF!</v>
      </c>
      <c r="F25" s="13">
        <f ca="1">AER_NWC!H19</f>
        <v>-560.77168663471093</v>
      </c>
      <c r="G25" s="13">
        <f ca="1">AER_NWC!I19</f>
        <v>-284.31347767029274</v>
      </c>
      <c r="H25" s="13">
        <f ca="1">AER_NWC!J19</f>
        <v>-164.09794734409115</v>
      </c>
      <c r="I25" s="13">
        <f ca="1">AER_NWC!K19</f>
        <v>-191.39941990206626</v>
      </c>
      <c r="J25" s="13">
        <f ca="1">AER_NWC!L19</f>
        <v>-216.2466510497834</v>
      </c>
      <c r="L25"/>
      <c r="M25" s="74"/>
      <c r="N25" s="129"/>
      <c r="O25" s="282" t="s">
        <v>319</v>
      </c>
      <c r="P25" s="285">
        <f ca="1">P21*P23*P24</f>
        <v>66.462953896821276</v>
      </c>
      <c r="Q25" s="129"/>
    </row>
    <row r="26" spans="3:18" x14ac:dyDescent="0.25">
      <c r="C26" s="94" t="s">
        <v>54</v>
      </c>
      <c r="D26" s="94"/>
      <c r="E26" s="107" t="e">
        <f t="shared" ref="E26:J26" si="9">SUM(E21:E25)</f>
        <v>#REF!</v>
      </c>
      <c r="F26" s="107">
        <f t="shared" ca="1" si="9"/>
        <v>-88.686920049711489</v>
      </c>
      <c r="G26" s="107">
        <f t="shared" ca="1" si="9"/>
        <v>-407.18146738972723</v>
      </c>
      <c r="H26" s="107">
        <f t="shared" ca="1" si="9"/>
        <v>3326.1594088605202</v>
      </c>
      <c r="I26" s="107">
        <f t="shared" ca="1" si="9"/>
        <v>3542.0164364419661</v>
      </c>
      <c r="J26" s="107">
        <f t="shared" ca="1" si="9"/>
        <v>3751.610531900717</v>
      </c>
      <c r="L26"/>
      <c r="M26"/>
      <c r="N26" s="129"/>
      <c r="O26" s="148"/>
      <c r="P26" s="182"/>
      <c r="Q26" s="129"/>
    </row>
    <row r="27" spans="3:18" x14ac:dyDescent="0.25">
      <c r="C27" s="67" t="s">
        <v>45</v>
      </c>
      <c r="D27" s="92"/>
      <c r="E27" s="72" t="str">
        <f t="shared" ref="E27" si="10">IFERROR(E26/D26 - 1, "N/A")</f>
        <v>N/A</v>
      </c>
      <c r="F27" s="38"/>
      <c r="G27" s="38">
        <f t="shared" ref="G27" ca="1" si="11">IFERROR(G26/F26 - 1, "N/A")</f>
        <v>3.5912234539376344</v>
      </c>
      <c r="H27" s="38">
        <f t="shared" ref="H27" ca="1" si="12">IFERROR(H26/G26 - 1, "N/A")</f>
        <v>-9.1687396781173742</v>
      </c>
      <c r="I27" s="38">
        <f t="shared" ref="I27" ca="1" si="13">IFERROR(I26/H26 - 1, "N/A")</f>
        <v>6.4896777648848269E-2</v>
      </c>
      <c r="J27" s="38">
        <f t="shared" ref="J27" ca="1" si="14">IFERROR(J26/I26 - 1, "N/A")</f>
        <v>5.9173665402098674E-2</v>
      </c>
      <c r="L27" s="1" t="s">
        <v>71</v>
      </c>
      <c r="M27" s="269"/>
      <c r="N27" s="129"/>
      <c r="O27" s="186"/>
      <c r="P27" s="187"/>
      <c r="Q27" s="129"/>
    </row>
    <row r="28" spans="3:18" x14ac:dyDescent="0.25">
      <c r="C28" s="3" t="s">
        <v>58</v>
      </c>
      <c r="E28" s="55">
        <f ca="1">AER_WACC!$F$29</f>
        <v>6.4191227095403119E-2</v>
      </c>
      <c r="F28" s="55">
        <f ca="1">AER_WACC!F29</f>
        <v>6.4191227095403119E-2</v>
      </c>
      <c r="G28" s="55">
        <f ca="1">AER_WACC!$F$29</f>
        <v>6.4191227095403119E-2</v>
      </c>
      <c r="H28" s="55">
        <f ca="1">AER_WACC!$F$29</f>
        <v>6.4191227095403119E-2</v>
      </c>
      <c r="I28" s="55">
        <f ca="1">AER_WACC!$F$29</f>
        <v>6.4191227095403119E-2</v>
      </c>
      <c r="J28" s="55">
        <f ca="1">AER_WACC!$F$29</f>
        <v>6.4191227095403119E-2</v>
      </c>
      <c r="L28" s="24" t="s">
        <v>72</v>
      </c>
      <c r="M28" s="289">
        <f ca="1">M24</f>
        <v>91.693726236073431</v>
      </c>
      <c r="N28" s="129"/>
      <c r="O28" s="129"/>
      <c r="P28" s="181"/>
      <c r="Q28" s="129"/>
    </row>
    <row r="29" spans="3:18" x14ac:dyDescent="0.25">
      <c r="C29" s="3" t="s">
        <v>125</v>
      </c>
      <c r="E29" s="14"/>
      <c r="F29" s="14">
        <f ca="1">YEARFRAC(J4,J5)</f>
        <v>0.18888888888888888</v>
      </c>
      <c r="G29" s="14">
        <f ca="1">F29+1</f>
        <v>1.1888888888888889</v>
      </c>
      <c r="H29" s="14">
        <f t="shared" ref="H29:J29" ca="1" si="15">G29+1</f>
        <v>2.1888888888888891</v>
      </c>
      <c r="I29" s="14">
        <f t="shared" ca="1" si="15"/>
        <v>3.1888888888888891</v>
      </c>
      <c r="J29" s="14">
        <f t="shared" ca="1" si="15"/>
        <v>4.1888888888888891</v>
      </c>
      <c r="L29" s="81" t="s">
        <v>326</v>
      </c>
      <c r="M29" s="306">
        <f ca="1">P25</f>
        <v>66.462953896821276</v>
      </c>
      <c r="N29" s="129"/>
      <c r="O29" s="129"/>
      <c r="P29" s="129"/>
      <c r="Q29" s="129"/>
    </row>
    <row r="30" spans="3:18" x14ac:dyDescent="0.25">
      <c r="C30" s="3" t="s">
        <v>126</v>
      </c>
      <c r="E30" s="14"/>
      <c r="F30" s="14">
        <f ca="1">1/(1+$F$34)^F29</f>
        <v>0.98831704099489215</v>
      </c>
      <c r="G30" s="14">
        <f ca="1">1/(1+$F$34)^G29</f>
        <v>0.92870248864238314</v>
      </c>
      <c r="H30" s="14">
        <f ca="1">1/(1+$F$34)^H29</f>
        <v>0.87268384196060123</v>
      </c>
      <c r="I30" s="14">
        <f ca="1">1/(1+$F$34)^I29</f>
        <v>0.82004419858120725</v>
      </c>
      <c r="J30" s="14">
        <f ca="1">1/(1+$F$34)^J29</f>
        <v>0.77057973952616654</v>
      </c>
      <c r="L30" s="307" t="s">
        <v>328</v>
      </c>
      <c r="M30" s="305">
        <f ca="1">AVERAGE(M28:M29)</f>
        <v>79.078340066447353</v>
      </c>
      <c r="N30" s="129"/>
      <c r="O30" s="129"/>
      <c r="P30" s="129"/>
      <c r="Q30" s="129"/>
    </row>
    <row r="31" spans="3:18" x14ac:dyDescent="0.25">
      <c r="C31" s="94" t="s">
        <v>57</v>
      </c>
      <c r="D31" s="94"/>
      <c r="E31" s="290"/>
      <c r="F31" s="290">
        <f ca="1">F30*F26</f>
        <v>-87.650794398481437</v>
      </c>
      <c r="G31" s="290">
        <f t="shared" ref="G31:J31" ca="1" si="16">G30*G26</f>
        <v>-378.15044209389703</v>
      </c>
      <c r="H31" s="290">
        <f t="shared" ca="1" si="16"/>
        <v>2902.6855718978009</v>
      </c>
      <c r="I31" s="290">
        <f t="shared" ca="1" si="16"/>
        <v>2904.6100299835157</v>
      </c>
      <c r="J31" s="290">
        <f t="shared" ca="1" si="16"/>
        <v>2890.9150664756776</v>
      </c>
      <c r="N31" s="129"/>
      <c r="O31" s="129"/>
      <c r="P31" s="129"/>
      <c r="Q31" s="129"/>
    </row>
    <row r="32" spans="3:18" x14ac:dyDescent="0.25">
      <c r="L32" s="129"/>
      <c r="M32" s="129"/>
      <c r="N32" s="129"/>
      <c r="O32" s="131"/>
      <c r="P32" s="293"/>
      <c r="Q32" s="129"/>
      <c r="R32" s="129"/>
    </row>
    <row r="33" spans="3:18" hidden="1" x14ac:dyDescent="0.25">
      <c r="F33" s="7" t="e">
        <f>E25/E9</f>
        <v>#REF!</v>
      </c>
      <c r="G33" s="7" t="e">
        <f>#REF!/#REF!</f>
        <v>#REF!</v>
      </c>
      <c r="H33" s="7" t="e">
        <f>#REF!/#REF!</f>
        <v>#REF!</v>
      </c>
      <c r="I33" s="7" t="e">
        <f>#REF!/#REF!</f>
        <v>#REF!</v>
      </c>
      <c r="J33" s="7" t="e">
        <f>#REF!/#REF!</f>
        <v>#REF!</v>
      </c>
      <c r="L33" s="131"/>
      <c r="M33" s="292"/>
      <c r="N33" s="129"/>
      <c r="O33" s="129"/>
      <c r="P33" s="129"/>
      <c r="Q33" s="129"/>
      <c r="R33" s="129"/>
    </row>
    <row r="34" spans="3:18" x14ac:dyDescent="0.25">
      <c r="C34" s="118" t="s">
        <v>58</v>
      </c>
      <c r="D34" s="119"/>
      <c r="E34" s="119"/>
      <c r="F34" s="120">
        <f ca="1">AER_WACC!F29</f>
        <v>6.4191227095403119E-2</v>
      </c>
      <c r="L34" s="129"/>
      <c r="M34" s="129"/>
      <c r="N34" s="129"/>
      <c r="O34" s="129"/>
      <c r="P34" s="129"/>
      <c r="Q34" s="129"/>
      <c r="R34" s="129"/>
    </row>
    <row r="35" spans="3:18" x14ac:dyDescent="0.25">
      <c r="K35"/>
      <c r="L35" s="131"/>
      <c r="M35" s="129"/>
      <c r="N35" s="129"/>
      <c r="O35" s="129"/>
      <c r="P35" s="129"/>
      <c r="Q35" s="129"/>
      <c r="R35" s="129"/>
    </row>
    <row r="36" spans="3:18" x14ac:dyDescent="0.25">
      <c r="K36"/>
      <c r="L36" s="129"/>
      <c r="M36" s="129"/>
      <c r="N36" s="129"/>
      <c r="O36" s="294"/>
      <c r="P36" s="294"/>
      <c r="Q36" s="129"/>
      <c r="R36" s="129"/>
    </row>
    <row r="37" spans="3:18" x14ac:dyDescent="0.25">
      <c r="K37"/>
      <c r="L37" s="131"/>
      <c r="M37" s="129"/>
      <c r="N37" s="294"/>
      <c r="O37" s="297"/>
      <c r="P37" s="297"/>
      <c r="Q37" s="294"/>
      <c r="R37" s="294"/>
    </row>
    <row r="38" spans="3:18" x14ac:dyDescent="0.25">
      <c r="K38"/>
      <c r="L38" s="295"/>
      <c r="M38" s="296"/>
      <c r="N38" s="297"/>
      <c r="O38" s="299"/>
      <c r="P38" s="299"/>
      <c r="Q38" s="297"/>
      <c r="R38" s="297"/>
    </row>
    <row r="39" spans="3:18" x14ac:dyDescent="0.25">
      <c r="K39"/>
      <c r="L39" s="129"/>
      <c r="M39" s="298"/>
      <c r="N39" s="299"/>
      <c r="O39" s="299"/>
      <c r="P39" s="299"/>
      <c r="Q39" s="299"/>
      <c r="R39" s="299"/>
    </row>
    <row r="40" spans="3:18" x14ac:dyDescent="0.25">
      <c r="K40"/>
      <c r="L40" s="295"/>
      <c r="M40" s="298"/>
      <c r="N40" s="299"/>
      <c r="O40" s="299"/>
      <c r="P40" s="299"/>
      <c r="Q40" s="299"/>
      <c r="R40" s="299"/>
    </row>
    <row r="41" spans="3:18" x14ac:dyDescent="0.25">
      <c r="K41"/>
      <c r="L41" s="300"/>
      <c r="M41" s="298"/>
      <c r="N41" s="299"/>
      <c r="O41" s="299"/>
      <c r="P41" s="299"/>
      <c r="Q41" s="299"/>
      <c r="R41" s="299"/>
    </row>
    <row r="42" spans="3:18" x14ac:dyDescent="0.25">
      <c r="K42"/>
      <c r="L42" s="295"/>
      <c r="M42" s="298"/>
      <c r="N42" s="299"/>
      <c r="O42" s="299"/>
      <c r="P42" s="299"/>
      <c r="Q42" s="299"/>
      <c r="R42" s="299"/>
    </row>
    <row r="43" spans="3:18" x14ac:dyDescent="0.25">
      <c r="K43"/>
      <c r="L43" s="295"/>
      <c r="M43" s="298"/>
      <c r="N43" s="299"/>
      <c r="O43" s="129"/>
      <c r="P43" s="129"/>
      <c r="Q43" s="299"/>
      <c r="R43" s="299"/>
    </row>
    <row r="44" spans="3:18" x14ac:dyDescent="0.25">
      <c r="L44" s="129"/>
      <c r="M44" s="129"/>
      <c r="N44" s="129"/>
      <c r="O44" s="294"/>
      <c r="P44" s="294"/>
      <c r="Q44" s="129"/>
      <c r="R44" s="129"/>
    </row>
    <row r="45" spans="3:18" x14ac:dyDescent="0.25">
      <c r="L45" s="131"/>
      <c r="M45" s="129"/>
      <c r="N45" s="294"/>
      <c r="O45" s="301"/>
      <c r="P45" s="301"/>
      <c r="Q45" s="294"/>
      <c r="R45" s="294"/>
    </row>
    <row r="46" spans="3:18" x14ac:dyDescent="0.25">
      <c r="L46" s="295"/>
      <c r="M46" s="296"/>
      <c r="N46" s="301"/>
      <c r="O46" s="299"/>
      <c r="P46" s="299"/>
      <c r="Q46" s="301"/>
      <c r="R46" s="301"/>
    </row>
    <row r="47" spans="3:18" x14ac:dyDescent="0.25">
      <c r="L47" s="129"/>
      <c r="M47" s="302"/>
      <c r="N47" s="299"/>
      <c r="O47" s="299"/>
      <c r="P47" s="299"/>
      <c r="Q47" s="299"/>
      <c r="R47" s="299"/>
    </row>
    <row r="48" spans="3:18" x14ac:dyDescent="0.25">
      <c r="L48" s="295"/>
      <c r="M48" s="302"/>
      <c r="N48" s="299"/>
      <c r="O48" s="299"/>
      <c r="P48" s="299"/>
      <c r="Q48" s="299"/>
      <c r="R48" s="299"/>
    </row>
    <row r="49" spans="12:18" x14ac:dyDescent="0.25">
      <c r="L49" s="300"/>
      <c r="M49" s="302"/>
      <c r="N49" s="299"/>
      <c r="O49" s="299"/>
      <c r="P49" s="299"/>
      <c r="Q49" s="299"/>
      <c r="R49" s="299"/>
    </row>
    <row r="50" spans="12:18" x14ac:dyDescent="0.25">
      <c r="L50" s="295"/>
      <c r="M50" s="302"/>
      <c r="N50" s="299"/>
      <c r="O50" s="299"/>
      <c r="P50" s="299"/>
      <c r="Q50" s="299"/>
      <c r="R50" s="299"/>
    </row>
    <row r="51" spans="12:18" x14ac:dyDescent="0.25">
      <c r="L51" s="295"/>
      <c r="M51" s="302"/>
      <c r="N51" s="299"/>
      <c r="O51" s="129"/>
      <c r="P51" s="129"/>
      <c r="Q51" s="299"/>
      <c r="R51" s="299"/>
    </row>
    <row r="52" spans="12:18" x14ac:dyDescent="0.25">
      <c r="L52" s="129"/>
      <c r="M52" s="129"/>
      <c r="N52" s="129"/>
      <c r="O52" s="129"/>
      <c r="P52" s="129"/>
      <c r="Q52" s="129"/>
      <c r="R52" s="129"/>
    </row>
    <row r="53" spans="12:18" x14ac:dyDescent="0.25">
      <c r="L53" s="129"/>
      <c r="M53" s="129"/>
      <c r="N53" s="129"/>
      <c r="Q53" s="129"/>
      <c r="R53" s="129"/>
    </row>
  </sheetData>
  <mergeCells count="1">
    <mergeCell ref="F7:J7"/>
  </mergeCells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C015-C15D-4049-B04C-E85216772710}">
  <dimension ref="A1"/>
  <sheetViews>
    <sheetView showGridLines="0" view="pageBreakPreview" zoomScale="60" zoomScaleNormal="100" workbookViewId="0">
      <selection activeCell="Q62" sqref="Q6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2F9D0-DBD5-45DF-974D-73FF5DCC0DF5}">
  <dimension ref="C3:M170"/>
  <sheetViews>
    <sheetView showGridLines="0" zoomScale="82" zoomScaleNormal="90" zoomScaleSheetLayoutView="90" workbookViewId="0">
      <pane ySplit="8" topLeftCell="A41" activePane="bottomLeft" state="frozen"/>
      <selection pane="bottomLeft" activeCell="J66" sqref="J66"/>
    </sheetView>
  </sheetViews>
  <sheetFormatPr defaultRowHeight="15" x14ac:dyDescent="0.25"/>
  <cols>
    <col min="2" max="2" width="2.42578125" customWidth="1"/>
    <col min="3" max="3" width="47.140625" bestFit="1" customWidth="1"/>
    <col min="4" max="4" width="10.85546875" bestFit="1" customWidth="1"/>
    <col min="5" max="5" width="11.140625" bestFit="1" customWidth="1"/>
    <col min="6" max="6" width="15.140625" customWidth="1"/>
    <col min="7" max="7" width="10.42578125" customWidth="1"/>
    <col min="8" max="9" width="11.85546875" bestFit="1" customWidth="1"/>
    <col min="10" max="11" width="11.7109375" bestFit="1" customWidth="1"/>
    <col min="12" max="12" width="10.85546875" bestFit="1" customWidth="1"/>
  </cols>
  <sheetData>
    <row r="3" spans="3:12" x14ac:dyDescent="0.25">
      <c r="C3" s="27" t="s">
        <v>216</v>
      </c>
      <c r="D3" s="27"/>
      <c r="E3" s="43"/>
      <c r="F3" s="43"/>
      <c r="G3" s="43"/>
      <c r="H3" s="43"/>
      <c r="I3" s="43"/>
      <c r="J3" s="43"/>
      <c r="K3" s="43"/>
      <c r="L3" s="43"/>
    </row>
    <row r="4" spans="3:12" x14ac:dyDescent="0.25">
      <c r="C4" s="44" t="s">
        <v>108</v>
      </c>
      <c r="D4" s="44"/>
      <c r="E4" s="43"/>
      <c r="F4" s="43"/>
      <c r="G4" s="43"/>
      <c r="H4" s="43"/>
      <c r="I4" s="43"/>
      <c r="J4" s="43"/>
      <c r="K4" s="43"/>
      <c r="L4" s="43"/>
    </row>
    <row r="5" spans="3:12" x14ac:dyDescent="0.25">
      <c r="C5" s="45" t="s">
        <v>109</v>
      </c>
      <c r="D5" s="109" t="str">
        <f ca="1">Cover!$R$17</f>
        <v>Base</v>
      </c>
      <c r="E5" s="109">
        <f>Cover!$Q$17</f>
        <v>1</v>
      </c>
      <c r="F5" s="43"/>
      <c r="G5" s="43"/>
      <c r="H5" s="43"/>
      <c r="I5" s="43"/>
      <c r="J5" s="43"/>
      <c r="K5" s="43"/>
      <c r="L5" s="43"/>
    </row>
    <row r="6" spans="3:12" x14ac:dyDescent="0.25">
      <c r="C6" s="96"/>
      <c r="D6" s="97"/>
      <c r="E6" s="97"/>
      <c r="F6" s="97"/>
      <c r="G6" s="97"/>
      <c r="H6" s="97"/>
      <c r="I6" s="97"/>
      <c r="J6" s="97"/>
      <c r="K6" s="97"/>
      <c r="L6" s="97"/>
    </row>
    <row r="7" spans="3:12" x14ac:dyDescent="0.25">
      <c r="C7" s="44" t="s">
        <v>41</v>
      </c>
      <c r="D7" s="331"/>
      <c r="E7" s="331"/>
      <c r="F7" s="331"/>
      <c r="G7" s="331"/>
      <c r="H7" s="330" t="s">
        <v>110</v>
      </c>
      <c r="I7" s="330"/>
      <c r="J7" s="330"/>
      <c r="K7" s="330"/>
      <c r="L7" s="330"/>
    </row>
    <row r="8" spans="3:12" x14ac:dyDescent="0.25">
      <c r="C8" s="43"/>
      <c r="D8" s="46" t="s">
        <v>3</v>
      </c>
      <c r="E8" s="46" t="s">
        <v>4</v>
      </c>
      <c r="F8" s="46" t="s">
        <v>5</v>
      </c>
      <c r="G8" s="47" t="s">
        <v>6</v>
      </c>
      <c r="H8" s="95" t="s">
        <v>35</v>
      </c>
      <c r="I8" s="95" t="s">
        <v>36</v>
      </c>
      <c r="J8" s="95" t="s">
        <v>37</v>
      </c>
      <c r="K8" s="95" t="s">
        <v>38</v>
      </c>
      <c r="L8" s="95" t="s">
        <v>39</v>
      </c>
    </row>
    <row r="9" spans="3:12" x14ac:dyDescent="0.25">
      <c r="C9" s="30" t="s">
        <v>207</v>
      </c>
      <c r="D9" s="31">
        <f>AER_IS!E12</f>
        <v>4682.3</v>
      </c>
      <c r="E9" s="31">
        <f>AER_IS!F12</f>
        <v>4321</v>
      </c>
      <c r="F9" s="31">
        <f>AER_IS!G12</f>
        <v>4412</v>
      </c>
      <c r="G9" s="31">
        <f>AER_IS!H12</f>
        <v>6530.5</v>
      </c>
      <c r="H9" s="32">
        <f t="shared" ref="H9:L9" ca="1" si="0">+G9*(1+H10)</f>
        <v>7011.1447999999991</v>
      </c>
      <c r="I9" s="32">
        <f ca="1">+H9*(1+I10)</f>
        <v>7460.5591816799997</v>
      </c>
      <c r="J9" s="32">
        <f t="shared" ca="1" si="0"/>
        <v>7833.5871407639997</v>
      </c>
      <c r="K9" s="32">
        <f t="shared" ca="1" si="0"/>
        <v>8225.2664978022003</v>
      </c>
      <c r="L9" s="32">
        <f t="shared" ca="1" si="0"/>
        <v>8636.5298226923114</v>
      </c>
    </row>
    <row r="10" spans="3:12" x14ac:dyDescent="0.25">
      <c r="C10" s="33" t="s">
        <v>287</v>
      </c>
      <c r="D10" s="34"/>
      <c r="E10" s="34">
        <f>(AER_Hist_IS!F8/AER_Hist_IS!E8)-1</f>
        <v>-7.7162932746727031E-2</v>
      </c>
      <c r="F10" s="34">
        <f>(AER_Hist_IS!G8/AER_Hist_IS!F8)-1</f>
        <v>2.1059939828743435E-2</v>
      </c>
      <c r="G10" s="34">
        <f>(AER_Hist_IS!H8/AER_Hist_IS!G8)-1</f>
        <v>0.48016772438803268</v>
      </c>
      <c r="H10" s="35">
        <f ca="1">+OFFSET(H10,$E$5,)</f>
        <v>7.3599999999999999E-2</v>
      </c>
      <c r="I10" s="35">
        <f t="shared" ref="I10:L10" ca="1" si="1">+OFFSET(I10,$E$5,)</f>
        <v>6.4100000000000004E-2</v>
      </c>
      <c r="J10" s="35">
        <f t="shared" ca="1" si="1"/>
        <v>0.05</v>
      </c>
      <c r="K10" s="35">
        <f t="shared" ca="1" si="1"/>
        <v>0.05</v>
      </c>
      <c r="L10" s="35">
        <f t="shared" ca="1" si="1"/>
        <v>0.05</v>
      </c>
    </row>
    <row r="11" spans="3:12" x14ac:dyDescent="0.25">
      <c r="C11" s="8" t="s">
        <v>104</v>
      </c>
      <c r="D11" s="3"/>
      <c r="E11" s="3"/>
      <c r="F11" s="3"/>
      <c r="H11" s="110">
        <v>7.3599999999999999E-2</v>
      </c>
      <c r="I11" s="110">
        <v>6.4100000000000004E-2</v>
      </c>
      <c r="J11" s="110">
        <v>0.05</v>
      </c>
      <c r="K11" s="110">
        <f>J11</f>
        <v>0.05</v>
      </c>
      <c r="L11" s="110">
        <f>K11</f>
        <v>0.05</v>
      </c>
    </row>
    <row r="12" spans="3:12" x14ac:dyDescent="0.25">
      <c r="C12" s="8" t="s">
        <v>106</v>
      </c>
      <c r="D12" s="3"/>
      <c r="E12" s="3"/>
      <c r="F12" s="36"/>
      <c r="H12" s="110">
        <f>H11+0.005</f>
        <v>7.8600000000000003E-2</v>
      </c>
      <c r="I12" s="110">
        <f>I11+0.005</f>
        <v>6.9100000000000009E-2</v>
      </c>
      <c r="J12" s="110">
        <v>5.5E-2</v>
      </c>
      <c r="K12" s="110">
        <v>5.5E-2</v>
      </c>
      <c r="L12" s="110">
        <v>5.5E-2</v>
      </c>
    </row>
    <row r="13" spans="3:12" x14ac:dyDescent="0.25">
      <c r="C13" s="8" t="s">
        <v>107</v>
      </c>
      <c r="D13" s="3"/>
      <c r="E13" s="3"/>
      <c r="F13" s="3"/>
      <c r="H13" s="110">
        <f>H11-0.01</f>
        <v>6.3600000000000004E-2</v>
      </c>
      <c r="I13" s="110">
        <f>I11-0.015</f>
        <v>4.9100000000000005E-2</v>
      </c>
      <c r="J13" s="110">
        <v>0.03</v>
      </c>
      <c r="K13" s="110">
        <v>0.03</v>
      </c>
      <c r="L13" s="110">
        <v>0.03</v>
      </c>
    </row>
    <row r="14" spans="3:12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x14ac:dyDescent="0.25">
      <c r="C15" s="30" t="s">
        <v>208</v>
      </c>
      <c r="D15" s="31">
        <f>AER_Hist_IS!E9</f>
        <v>188.8</v>
      </c>
      <c r="E15" s="31">
        <f>AER_Hist_IS!F9</f>
        <v>89.6</v>
      </c>
      <c r="F15" s="31">
        <f>AER_Hist_IS!G9</f>
        <v>89.4</v>
      </c>
      <c r="G15" s="31">
        <f>AER_Hist_IS!H9</f>
        <v>228.9</v>
      </c>
      <c r="H15" s="37">
        <f t="shared" ref="H15:L15" ca="1" si="2">+G15*(1+H16)</f>
        <v>575.34014999999999</v>
      </c>
      <c r="I15" s="37">
        <f ca="1">+H15*(1+I16)</f>
        <v>570.04702062000001</v>
      </c>
      <c r="J15" s="37">
        <f t="shared" ca="1" si="2"/>
        <v>456.03761649600006</v>
      </c>
      <c r="K15" s="37">
        <f t="shared" ca="1" si="2"/>
        <v>364.83009319680008</v>
      </c>
      <c r="L15" s="37">
        <f t="shared" ca="1" si="2"/>
        <v>291.86407455744006</v>
      </c>
    </row>
    <row r="16" spans="3:12" x14ac:dyDescent="0.25">
      <c r="C16" s="33" t="s">
        <v>287</v>
      </c>
      <c r="D16" s="34"/>
      <c r="E16" s="34">
        <f>(AER_Hist_IS!F9/AER_Hist_IS!E9)-1</f>
        <v>-0.52542372881355937</v>
      </c>
      <c r="F16" s="34">
        <f>(AER_Hist_IS!G9/AER_Hist_IS!F9)-1</f>
        <v>-2.2321428571426827E-3</v>
      </c>
      <c r="G16" s="34">
        <f>(AER_Hist_IS!H9/AER_Hist_IS!G9)-1</f>
        <v>1.5604026845637584</v>
      </c>
      <c r="H16" s="35">
        <f t="shared" ref="H16:L16" ca="1" si="3">+OFFSET(H16,$E$5,)</f>
        <v>1.5135000000000001</v>
      </c>
      <c r="I16" s="35">
        <f t="shared" ca="1" si="3"/>
        <v>-9.1999999999999998E-3</v>
      </c>
      <c r="J16" s="35">
        <f t="shared" ca="1" si="3"/>
        <v>-0.2</v>
      </c>
      <c r="K16" s="35">
        <f t="shared" ca="1" si="3"/>
        <v>-0.2</v>
      </c>
      <c r="L16" s="35">
        <f t="shared" ca="1" si="3"/>
        <v>-0.2</v>
      </c>
    </row>
    <row r="17" spans="3:12" x14ac:dyDescent="0.25">
      <c r="C17" s="8" t="s">
        <v>104</v>
      </c>
      <c r="D17" s="39"/>
      <c r="E17" s="39"/>
      <c r="F17" s="39"/>
      <c r="H17" s="110">
        <v>1.5135000000000001</v>
      </c>
      <c r="I17" s="110">
        <v>-9.1999999999999998E-3</v>
      </c>
      <c r="J17" s="110">
        <v>-0.2</v>
      </c>
      <c r="K17" s="110">
        <f>J17</f>
        <v>-0.2</v>
      </c>
      <c r="L17" s="110">
        <f>K17</f>
        <v>-0.2</v>
      </c>
    </row>
    <row r="18" spans="3:12" x14ac:dyDescent="0.25">
      <c r="C18" s="8" t="s">
        <v>106</v>
      </c>
      <c r="D18" s="39"/>
      <c r="E18" s="39"/>
      <c r="F18" s="39"/>
      <c r="H18" s="110">
        <f>H17+0.2</f>
        <v>1.7135</v>
      </c>
      <c r="I18" s="110">
        <f>0</f>
        <v>0</v>
      </c>
      <c r="J18" s="110">
        <v>-0.1</v>
      </c>
      <c r="K18" s="110">
        <v>-0.1</v>
      </c>
      <c r="L18" s="110">
        <v>-0.1</v>
      </c>
    </row>
    <row r="19" spans="3:12" x14ac:dyDescent="0.25">
      <c r="C19" s="8" t="s">
        <v>107</v>
      </c>
      <c r="D19" s="39"/>
      <c r="E19" s="39"/>
      <c r="F19" s="39"/>
      <c r="H19" s="110">
        <f>H17-0.2</f>
        <v>1.3135000000000001</v>
      </c>
      <c r="I19" s="110">
        <v>-0.5</v>
      </c>
      <c r="J19" s="110">
        <v>-0.3</v>
      </c>
      <c r="K19" s="110">
        <v>-0.3</v>
      </c>
      <c r="L19" s="110">
        <v>-0.3</v>
      </c>
    </row>
    <row r="20" spans="3:12" x14ac:dyDescent="0.25">
      <c r="C20" s="8"/>
      <c r="D20" s="39"/>
      <c r="E20" s="39"/>
      <c r="F20" s="39"/>
      <c r="G20" s="3"/>
      <c r="H20" s="3"/>
      <c r="I20" s="3"/>
      <c r="J20" s="3"/>
      <c r="K20" s="3"/>
      <c r="L20" s="3"/>
    </row>
    <row r="21" spans="3:12" x14ac:dyDescent="0.25">
      <c r="C21" s="30" t="s">
        <v>209</v>
      </c>
      <c r="D21" s="31">
        <f>AER_Hist_IS!D10</f>
        <v>61.6</v>
      </c>
      <c r="E21" s="31">
        <f>AER_Hist_IS!E10</f>
        <v>66.2</v>
      </c>
      <c r="F21" s="31">
        <f>AER_Hist_IS!F10</f>
        <v>83.004999999999995</v>
      </c>
      <c r="G21" s="31">
        <f>AER_Hist_IS!G10</f>
        <v>722.57399999999996</v>
      </c>
      <c r="H21" s="37">
        <f t="shared" ref="H21:L21" ca="1" si="4">+G21*(1+H22)</f>
        <v>489.47162759999998</v>
      </c>
      <c r="I21" s="37">
        <f ca="1">+H21*(1+I22)</f>
        <v>486.68163932267998</v>
      </c>
      <c r="J21" s="37">
        <f t="shared" ca="1" si="4"/>
        <v>486.68163932267998</v>
      </c>
      <c r="K21" s="37">
        <f t="shared" ca="1" si="4"/>
        <v>486.68163932267998</v>
      </c>
      <c r="L21" s="37">
        <f t="shared" ca="1" si="4"/>
        <v>486.68163932267998</v>
      </c>
    </row>
    <row r="22" spans="3:12" x14ac:dyDescent="0.25">
      <c r="C22" s="33" t="s">
        <v>215</v>
      </c>
      <c r="D22" s="38"/>
      <c r="E22" s="38">
        <f t="shared" ref="E22" si="5">E21/D21-1</f>
        <v>7.4675324675324672E-2</v>
      </c>
      <c r="F22" s="38">
        <f t="shared" ref="F22" si="6">F21/E21-1</f>
        <v>0.25385196374622354</v>
      </c>
      <c r="G22" s="38">
        <f t="shared" ref="G22" si="7">G21/F21-1</f>
        <v>7.7051864345521359</v>
      </c>
      <c r="H22" s="35">
        <f t="shared" ref="H22:L22" ca="1" si="8">+OFFSET(H22,$E$5,)</f>
        <v>-0.3226</v>
      </c>
      <c r="I22" s="35">
        <f t="shared" ca="1" si="8"/>
        <v>-5.7000000000000002E-3</v>
      </c>
      <c r="J22" s="35">
        <f t="shared" ca="1" si="8"/>
        <v>0</v>
      </c>
      <c r="K22" s="35">
        <f t="shared" ca="1" si="8"/>
        <v>0</v>
      </c>
      <c r="L22" s="35">
        <f t="shared" ca="1" si="8"/>
        <v>0</v>
      </c>
    </row>
    <row r="23" spans="3:12" x14ac:dyDescent="0.25">
      <c r="C23" s="8" t="s">
        <v>104</v>
      </c>
      <c r="D23" s="39"/>
      <c r="E23" s="39"/>
      <c r="F23" s="39"/>
      <c r="H23" s="110">
        <v>-0.3226</v>
      </c>
      <c r="I23" s="110">
        <v>-5.7000000000000002E-3</v>
      </c>
      <c r="J23" s="110">
        <v>0</v>
      </c>
      <c r="K23" s="110">
        <f>J23</f>
        <v>0</v>
      </c>
      <c r="L23" s="110">
        <f>K23</f>
        <v>0</v>
      </c>
    </row>
    <row r="24" spans="3:12" x14ac:dyDescent="0.25">
      <c r="C24" s="8" t="s">
        <v>106</v>
      </c>
      <c r="D24" s="39"/>
      <c r="E24" s="39"/>
      <c r="F24" s="39"/>
      <c r="H24" s="110">
        <f>H23+0.1</f>
        <v>-0.22259999999999999</v>
      </c>
      <c r="I24" s="110">
        <f>0.02</f>
        <v>0.02</v>
      </c>
      <c r="J24" s="110">
        <f t="shared" ref="J24:L24" si="9">0.02</f>
        <v>0.02</v>
      </c>
      <c r="K24" s="110">
        <f t="shared" si="9"/>
        <v>0.02</v>
      </c>
      <c r="L24" s="110">
        <f t="shared" si="9"/>
        <v>0.02</v>
      </c>
    </row>
    <row r="25" spans="3:12" x14ac:dyDescent="0.25">
      <c r="C25" s="8" t="s">
        <v>107</v>
      </c>
      <c r="D25" s="39"/>
      <c r="E25" s="39"/>
      <c r="F25" s="39"/>
      <c r="H25" s="110">
        <f>H23-0.1</f>
        <v>-0.42259999999999998</v>
      </c>
      <c r="I25" s="110">
        <v>-0.02</v>
      </c>
      <c r="J25" s="110">
        <v>-0.02</v>
      </c>
      <c r="K25" s="110">
        <v>-0.02</v>
      </c>
      <c r="L25" s="110">
        <v>-0.02</v>
      </c>
    </row>
    <row r="26" spans="3:12" hidden="1" x14ac:dyDescent="0.25">
      <c r="C26" s="3"/>
      <c r="D26" s="39"/>
      <c r="E26" s="39"/>
      <c r="F26" s="39"/>
      <c r="G26" s="3"/>
      <c r="H26" s="3"/>
      <c r="I26" s="3"/>
      <c r="J26" s="3"/>
      <c r="K26" s="3"/>
      <c r="L26" s="3"/>
    </row>
    <row r="27" spans="3:12" hidden="1" x14ac:dyDescent="0.25">
      <c r="C27" s="30"/>
      <c r="D27" s="40"/>
      <c r="E27" s="40"/>
      <c r="F27" s="40"/>
      <c r="G27" s="40"/>
      <c r="H27" s="37"/>
      <c r="I27" s="37"/>
      <c r="J27" s="37"/>
      <c r="K27" s="37"/>
      <c r="L27" s="37"/>
    </row>
    <row r="28" spans="3:12" hidden="1" x14ac:dyDescent="0.25">
      <c r="C28" s="33"/>
      <c r="D28" s="38"/>
      <c r="E28" s="38"/>
      <c r="F28" s="38"/>
      <c r="G28" s="38"/>
      <c r="H28" s="35"/>
      <c r="I28" s="35"/>
      <c r="J28" s="35"/>
      <c r="K28" s="35"/>
      <c r="L28" s="35"/>
    </row>
    <row r="29" spans="3:12" hidden="1" x14ac:dyDescent="0.25">
      <c r="C29" s="8"/>
      <c r="D29" s="39"/>
      <c r="E29" s="39"/>
      <c r="F29" s="39"/>
      <c r="H29" s="110"/>
      <c r="I29" s="110"/>
      <c r="J29" s="110"/>
      <c r="K29" s="110"/>
      <c r="L29" s="110"/>
    </row>
    <row r="30" spans="3:12" hidden="1" x14ac:dyDescent="0.25">
      <c r="C30" s="8"/>
      <c r="D30" s="39"/>
      <c r="E30" s="39"/>
      <c r="F30" s="39"/>
      <c r="H30" s="110"/>
      <c r="I30" s="110"/>
      <c r="J30" s="110"/>
      <c r="K30" s="110"/>
      <c r="L30" s="110"/>
    </row>
    <row r="31" spans="3:12" hidden="1" x14ac:dyDescent="0.25">
      <c r="C31" s="8"/>
      <c r="D31" s="39"/>
      <c r="E31" s="39"/>
      <c r="F31" s="39"/>
      <c r="H31" s="110"/>
      <c r="I31" s="110"/>
      <c r="J31" s="110"/>
      <c r="K31" s="110"/>
      <c r="L31" s="110"/>
    </row>
    <row r="32" spans="3:12" x14ac:dyDescent="0.25">
      <c r="C32" s="8"/>
      <c r="D32" s="39"/>
      <c r="E32" s="39"/>
      <c r="F32" s="39"/>
      <c r="G32" s="3"/>
      <c r="H32" s="3"/>
      <c r="I32" s="3"/>
      <c r="J32" s="3"/>
      <c r="K32" s="3"/>
      <c r="L32" s="3"/>
    </row>
    <row r="33" spans="3:12" x14ac:dyDescent="0.25">
      <c r="C33" s="30" t="s">
        <v>210</v>
      </c>
      <c r="D33" s="40">
        <f>AER_Hist_IS!E14</f>
        <v>1676.1</v>
      </c>
      <c r="E33" s="40">
        <f>AER_Hist_IS!F14</f>
        <v>1645.4</v>
      </c>
      <c r="F33" s="40">
        <f>AER_Hist_IS!G14</f>
        <v>1737.9</v>
      </c>
      <c r="G33" s="40">
        <f>AER_Hist_IS!H14</f>
        <v>2389.8000000000002</v>
      </c>
      <c r="H33" s="37">
        <f t="shared" ref="H33:L33" ca="1" si="10">+G33*(1+H34)</f>
        <v>2456.9533800000004</v>
      </c>
      <c r="I33" s="37">
        <f ca="1">+H33*(1+I34)</f>
        <v>2635.3281953880005</v>
      </c>
      <c r="J33" s="37">
        <f t="shared" ca="1" si="10"/>
        <v>2767.0946051574006</v>
      </c>
      <c r="K33" s="37">
        <f t="shared" ca="1" si="10"/>
        <v>2905.4493354152705</v>
      </c>
      <c r="L33" s="37">
        <f t="shared" ca="1" si="10"/>
        <v>3050.721802186034</v>
      </c>
    </row>
    <row r="34" spans="3:12" x14ac:dyDescent="0.25">
      <c r="C34" s="33" t="s">
        <v>45</v>
      </c>
      <c r="D34" s="38"/>
      <c r="E34" s="38">
        <f t="shared" ref="E34:G34" si="11">+E33/D33-1</f>
        <v>-1.8316329574607604E-2</v>
      </c>
      <c r="F34" s="38">
        <f t="shared" si="11"/>
        <v>5.6217333171265427E-2</v>
      </c>
      <c r="G34" s="38">
        <f t="shared" si="11"/>
        <v>0.37510788883134816</v>
      </c>
      <c r="H34" s="35">
        <f t="shared" ref="H34:L34" ca="1" si="12">+OFFSET(H34,$E$5,)</f>
        <v>2.81E-2</v>
      </c>
      <c r="I34" s="35">
        <f t="shared" ca="1" si="12"/>
        <v>7.2599999999999998E-2</v>
      </c>
      <c r="J34" s="35">
        <f t="shared" ca="1" si="12"/>
        <v>0.05</v>
      </c>
      <c r="K34" s="35">
        <f t="shared" ca="1" si="12"/>
        <v>0.05</v>
      </c>
      <c r="L34" s="35">
        <f t="shared" ca="1" si="12"/>
        <v>0.05</v>
      </c>
    </row>
    <row r="35" spans="3:12" x14ac:dyDescent="0.25">
      <c r="C35" s="8" t="s">
        <v>104</v>
      </c>
      <c r="D35" s="3"/>
      <c r="E35" s="3"/>
      <c r="F35" s="3"/>
      <c r="H35" s="110">
        <v>2.81E-2</v>
      </c>
      <c r="I35" s="110">
        <v>7.2599999999999998E-2</v>
      </c>
      <c r="J35" s="110">
        <v>0.05</v>
      </c>
      <c r="K35" s="110">
        <v>0.05</v>
      </c>
      <c r="L35" s="110">
        <v>0.05</v>
      </c>
    </row>
    <row r="36" spans="3:12" x14ac:dyDescent="0.25">
      <c r="C36" s="8" t="s">
        <v>106</v>
      </c>
      <c r="D36" s="3"/>
      <c r="E36" s="3"/>
      <c r="F36" s="3"/>
      <c r="H36" s="110">
        <v>3.8100000000000002E-2</v>
      </c>
      <c r="I36" s="110">
        <v>8.2599999999999993E-2</v>
      </c>
      <c r="J36" s="110">
        <v>6.0000000000000005E-2</v>
      </c>
      <c r="K36" s="110">
        <v>6.0000000000000005E-2</v>
      </c>
      <c r="L36" s="110">
        <v>6.0000000000000005E-2</v>
      </c>
    </row>
    <row r="37" spans="3:12" x14ac:dyDescent="0.25">
      <c r="C37" s="8" t="s">
        <v>107</v>
      </c>
      <c r="D37" s="3"/>
      <c r="E37" s="3"/>
      <c r="F37" s="3"/>
      <c r="H37" s="111">
        <v>1.8099999999999998E-2</v>
      </c>
      <c r="I37" s="111">
        <v>6.2600000000000003E-2</v>
      </c>
      <c r="J37" s="111">
        <v>0.04</v>
      </c>
      <c r="K37" s="111">
        <v>0.04</v>
      </c>
      <c r="L37" s="111">
        <v>0.04</v>
      </c>
    </row>
    <row r="38" spans="3:12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25">
      <c r="C39" s="30" t="s">
        <v>211</v>
      </c>
      <c r="D39" s="40">
        <f>AER_Hist_IS!E16</f>
        <v>70.099999999999994</v>
      </c>
      <c r="E39" s="40">
        <f>AER_Hist_IS!F16</f>
        <v>1087</v>
      </c>
      <c r="F39" s="40">
        <f>AER_Hist_IS!G16</f>
        <v>128.4</v>
      </c>
      <c r="G39" s="40">
        <f>AER_Hist_IS!H16</f>
        <v>96.590999999999994</v>
      </c>
      <c r="H39" s="37">
        <f t="shared" ref="H39" ca="1" si="13">+G39*(1+H40)</f>
        <v>61.200057599999994</v>
      </c>
      <c r="I39" s="37">
        <f ca="1">+H39*(1+I40)</f>
        <v>77.987233399679994</v>
      </c>
      <c r="J39" s="37">
        <f t="shared" ref="J39" ca="1" si="14">+I39*(1+J40)</f>
        <v>79.546978067673592</v>
      </c>
      <c r="K39" s="37">
        <f t="shared" ref="K39" ca="1" si="15">+J39*(1+K40)</f>
        <v>81.137917629027072</v>
      </c>
      <c r="L39" s="37">
        <f t="shared" ref="L39" ca="1" si="16">+K39*(1+L40)</f>
        <v>82.760675981607619</v>
      </c>
    </row>
    <row r="40" spans="3:12" x14ac:dyDescent="0.25">
      <c r="C40" s="33" t="s">
        <v>45</v>
      </c>
      <c r="D40" s="34"/>
      <c r="E40" s="34">
        <f>+E39/D39-1</f>
        <v>14.506419400855922</v>
      </c>
      <c r="F40" s="66">
        <f t="shared" ref="F40" si="17">+F39/E39-1</f>
        <v>-0.88187672493100278</v>
      </c>
      <c r="G40" s="66">
        <f t="shared" ref="G40" si="18">+G39/F39-1</f>
        <v>-0.2477336448598132</v>
      </c>
      <c r="H40" s="35">
        <f t="shared" ref="H40:L40" ca="1" si="19">+OFFSET(H40,$E$5,)</f>
        <v>-0.3664</v>
      </c>
      <c r="I40" s="35">
        <f t="shared" ca="1" si="19"/>
        <v>0.27429999999999999</v>
      </c>
      <c r="J40" s="35">
        <f t="shared" ca="1" si="19"/>
        <v>0.02</v>
      </c>
      <c r="K40" s="35">
        <f t="shared" ca="1" si="19"/>
        <v>0.02</v>
      </c>
      <c r="L40" s="35">
        <f t="shared" ca="1" si="19"/>
        <v>0.02</v>
      </c>
    </row>
    <row r="41" spans="3:12" x14ac:dyDescent="0.25">
      <c r="C41" s="8" t="s">
        <v>104</v>
      </c>
      <c r="D41" s="3"/>
      <c r="E41" s="3"/>
      <c r="F41" s="3"/>
      <c r="H41" s="110">
        <v>-0.3664</v>
      </c>
      <c r="I41" s="110">
        <v>0.27429999999999999</v>
      </c>
      <c r="J41" s="110">
        <v>0.02</v>
      </c>
      <c r="K41" s="110">
        <v>0.02</v>
      </c>
      <c r="L41" s="110">
        <v>0.02</v>
      </c>
    </row>
    <row r="42" spans="3:12" x14ac:dyDescent="0.25">
      <c r="C42" s="8" t="s">
        <v>106</v>
      </c>
      <c r="D42" s="3"/>
      <c r="E42" s="41"/>
      <c r="F42" s="3"/>
      <c r="H42" s="111">
        <f>H41-0.05</f>
        <v>-0.41639999999999999</v>
      </c>
      <c r="I42" s="111">
        <f t="shared" ref="I42" si="20">I41-0.05</f>
        <v>0.2243</v>
      </c>
      <c r="J42" s="111">
        <v>0.01</v>
      </c>
      <c r="K42" s="111">
        <v>0.01</v>
      </c>
      <c r="L42" s="111">
        <v>0.01</v>
      </c>
    </row>
    <row r="43" spans="3:12" x14ac:dyDescent="0.25">
      <c r="C43" s="8" t="s">
        <v>107</v>
      </c>
      <c r="D43" s="3"/>
      <c r="E43" s="3"/>
      <c r="F43" s="3"/>
      <c r="H43" s="110">
        <f>H41+0.05</f>
        <v>-0.31640000000000001</v>
      </c>
      <c r="I43" s="110">
        <f>I41+0.05</f>
        <v>0.32429999999999998</v>
      </c>
      <c r="J43" s="110">
        <v>0.03</v>
      </c>
      <c r="K43" s="110">
        <v>0.03</v>
      </c>
      <c r="L43" s="110">
        <v>0.03</v>
      </c>
    </row>
    <row r="44" spans="3:12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x14ac:dyDescent="0.25">
      <c r="C45" s="30" t="s">
        <v>212</v>
      </c>
      <c r="D45" s="42">
        <f>AER_Hist_IS!E19</f>
        <v>288</v>
      </c>
      <c r="E45" s="42">
        <f>AER_Hist_IS!F19</f>
        <v>323.5</v>
      </c>
      <c r="F45" s="42">
        <f>AER_Hist_IS!G19</f>
        <v>319</v>
      </c>
      <c r="G45" s="42">
        <f>AER_Hist_IS!H19</f>
        <v>823.6</v>
      </c>
      <c r="H45" s="37">
        <f t="shared" ref="H45" ca="1" si="21">+G45*(1+H46)</f>
        <v>908.92495999999994</v>
      </c>
      <c r="I45" s="37">
        <f ca="1">+H45*(1+I46)</f>
        <v>939.64662364799995</v>
      </c>
      <c r="J45" s="37">
        <f t="shared" ref="J45" ca="1" si="22">+I45*(1+J46)</f>
        <v>967.83602235744002</v>
      </c>
      <c r="K45" s="37">
        <f t="shared" ref="K45" ca="1" si="23">+J45*(1+K46)</f>
        <v>996.87110302816325</v>
      </c>
      <c r="L45" s="37">
        <f t="shared" ref="L45" ca="1" si="24">+K45*(1+L46)</f>
        <v>1026.7772361190082</v>
      </c>
    </row>
    <row r="46" spans="3:12" x14ac:dyDescent="0.25">
      <c r="C46" s="33" t="s">
        <v>45</v>
      </c>
      <c r="D46" s="34"/>
      <c r="E46" s="38">
        <f t="shared" ref="E46" si="25">+E45/D45-1</f>
        <v>0.12326388888888884</v>
      </c>
      <c r="F46" s="38">
        <f t="shared" ref="F46" si="26">+F45/E45-1</f>
        <v>-1.391035548686248E-2</v>
      </c>
      <c r="G46" s="34">
        <f t="shared" ref="G46" si="27">+G45/F45-1</f>
        <v>1.581818181818182</v>
      </c>
      <c r="H46" s="35">
        <f t="shared" ref="H46:L46" ca="1" si="28">+OFFSET(H46,$E$5,)</f>
        <v>0.1036</v>
      </c>
      <c r="I46" s="35">
        <f t="shared" ca="1" si="28"/>
        <v>3.3799999999999997E-2</v>
      </c>
      <c r="J46" s="35">
        <f t="shared" ca="1" si="28"/>
        <v>0.03</v>
      </c>
      <c r="K46" s="35">
        <f t="shared" ca="1" si="28"/>
        <v>0.03</v>
      </c>
      <c r="L46" s="35">
        <f t="shared" ca="1" si="28"/>
        <v>0.03</v>
      </c>
    </row>
    <row r="47" spans="3:12" x14ac:dyDescent="0.25">
      <c r="C47" s="8" t="s">
        <v>104</v>
      </c>
      <c r="D47" s="3"/>
      <c r="E47" s="3"/>
      <c r="F47" s="3"/>
      <c r="H47" s="110">
        <v>0.1036</v>
      </c>
      <c r="I47" s="110">
        <v>3.3799999999999997E-2</v>
      </c>
      <c r="J47" s="110">
        <v>0.03</v>
      </c>
      <c r="K47" s="110">
        <f>J47</f>
        <v>0.03</v>
      </c>
      <c r="L47" s="110">
        <f>K47</f>
        <v>0.03</v>
      </c>
    </row>
    <row r="48" spans="3:12" x14ac:dyDescent="0.25">
      <c r="C48" s="8" t="s">
        <v>106</v>
      </c>
      <c r="D48" s="3"/>
      <c r="E48" s="3"/>
      <c r="F48" s="3"/>
      <c r="H48" s="110">
        <v>0.124</v>
      </c>
      <c r="I48" s="110">
        <v>5.3999999999999999E-2</v>
      </c>
      <c r="J48" s="110">
        <v>0.04</v>
      </c>
      <c r="K48" s="110">
        <v>0.04</v>
      </c>
      <c r="L48" s="110">
        <v>0.04</v>
      </c>
    </row>
    <row r="49" spans="3:13" x14ac:dyDescent="0.25">
      <c r="C49" s="8" t="s">
        <v>107</v>
      </c>
      <c r="D49" s="3"/>
      <c r="E49" s="3"/>
      <c r="F49" s="3"/>
      <c r="H49" s="110">
        <v>8.4000000000000005E-2</v>
      </c>
      <c r="I49" s="110">
        <v>2.4E-2</v>
      </c>
      <c r="J49" s="110">
        <v>0.02</v>
      </c>
      <c r="K49" s="110">
        <v>0.02</v>
      </c>
      <c r="L49" s="110">
        <v>0.02</v>
      </c>
    </row>
    <row r="50" spans="3:13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3" x14ac:dyDescent="0.25">
      <c r="C51" s="30" t="s">
        <v>213</v>
      </c>
      <c r="D51" s="42">
        <f>AER_Hist_IS!E20</f>
        <v>267.5</v>
      </c>
      <c r="E51" s="42">
        <f>AER_Hist_IS!F20</f>
        <v>242.2</v>
      </c>
      <c r="F51" s="42">
        <f>AER_Hist_IS!G20</f>
        <v>317.89999999999998</v>
      </c>
      <c r="G51" s="42">
        <f>AER_Hist_IS!H20</f>
        <v>399.5</v>
      </c>
      <c r="H51" s="37">
        <f t="shared" ref="H51" ca="1" si="29">+G51*(1+H52)</f>
        <v>471.44994999999994</v>
      </c>
      <c r="I51" s="37">
        <f ca="1">+H51*(1+I52)</f>
        <v>494.12669259499995</v>
      </c>
      <c r="J51" s="37">
        <f t="shared" ref="J51" ca="1" si="30">+I51*(1+J52)</f>
        <v>518.83302722475003</v>
      </c>
      <c r="K51" s="37">
        <f t="shared" ref="K51" ca="1" si="31">+J51*(1+K52)</f>
        <v>544.77467858598754</v>
      </c>
      <c r="L51" s="37">
        <f t="shared" ref="L51" ca="1" si="32">+K51*(1+L52)</f>
        <v>572.01341251528697</v>
      </c>
    </row>
    <row r="52" spans="3:13" x14ac:dyDescent="0.25">
      <c r="C52" s="33" t="s">
        <v>45</v>
      </c>
      <c r="D52" s="38"/>
      <c r="E52" s="38">
        <f t="shared" ref="E52" si="33">+E51/D51-1</f>
        <v>-9.4579439252336472E-2</v>
      </c>
      <c r="F52" s="38">
        <f t="shared" ref="F52" si="34">+F51/E51-1</f>
        <v>0.31255161023947142</v>
      </c>
      <c r="G52" s="38">
        <f t="shared" ref="G52" si="35">+G51/F51-1</f>
        <v>0.25668449197860976</v>
      </c>
      <c r="H52" s="35">
        <f ca="1">+OFFSET(H52,$E$5,)</f>
        <v>0.18010000000000001</v>
      </c>
      <c r="I52" s="35">
        <f t="shared" ref="I52:L52" ca="1" si="36">+OFFSET(I52,$E$5,)</f>
        <v>4.8099999999999997E-2</v>
      </c>
      <c r="J52" s="35">
        <f t="shared" ca="1" si="36"/>
        <v>0.05</v>
      </c>
      <c r="K52" s="35">
        <f t="shared" ca="1" si="36"/>
        <v>0.05</v>
      </c>
      <c r="L52" s="35">
        <f t="shared" ca="1" si="36"/>
        <v>0.05</v>
      </c>
    </row>
    <row r="53" spans="3:13" x14ac:dyDescent="0.25">
      <c r="C53" s="8" t="s">
        <v>104</v>
      </c>
      <c r="D53" s="3"/>
      <c r="E53" s="3"/>
      <c r="F53" s="3"/>
      <c r="H53" s="110">
        <v>0.18010000000000001</v>
      </c>
      <c r="I53" s="110">
        <v>4.8099999999999997E-2</v>
      </c>
      <c r="J53" s="110">
        <v>0.05</v>
      </c>
      <c r="K53" s="110">
        <f>J53</f>
        <v>0.05</v>
      </c>
      <c r="L53" s="110">
        <f>K53</f>
        <v>0.05</v>
      </c>
    </row>
    <row r="54" spans="3:13" x14ac:dyDescent="0.25">
      <c r="C54" s="8" t="s">
        <v>106</v>
      </c>
      <c r="D54" s="3"/>
      <c r="E54" s="3"/>
      <c r="F54" s="3"/>
      <c r="H54" s="110">
        <v>0.16</v>
      </c>
      <c r="I54" s="110">
        <v>3.7999999999999999E-2</v>
      </c>
      <c r="J54" s="110">
        <v>0.04</v>
      </c>
      <c r="K54" s="110">
        <v>0.04</v>
      </c>
      <c r="L54" s="110">
        <v>0.04</v>
      </c>
    </row>
    <row r="55" spans="3:13" x14ac:dyDescent="0.25">
      <c r="C55" s="8" t="s">
        <v>107</v>
      </c>
      <c r="D55" s="3"/>
      <c r="E55" s="3"/>
      <c r="F55" s="3"/>
      <c r="H55" s="110">
        <v>0.18</v>
      </c>
      <c r="I55" s="110">
        <v>5.8000000000000003E-2</v>
      </c>
      <c r="J55" s="110">
        <v>0.06</v>
      </c>
      <c r="K55" s="110">
        <v>0.06</v>
      </c>
      <c r="L55" s="110">
        <v>0.06</v>
      </c>
    </row>
    <row r="56" spans="3:13" x14ac:dyDescent="0.25">
      <c r="C56" s="143"/>
      <c r="D56" s="129"/>
      <c r="E56" s="129"/>
      <c r="F56" s="129"/>
      <c r="G56" s="141"/>
      <c r="H56" s="141"/>
      <c r="I56" s="141"/>
      <c r="J56" s="141"/>
      <c r="K56" s="141"/>
      <c r="L56" s="141"/>
      <c r="M56" s="141"/>
    </row>
    <row r="57" spans="3:13" x14ac:dyDescent="0.25">
      <c r="C57" s="30" t="s">
        <v>286</v>
      </c>
      <c r="D57" s="42">
        <f>AER_CF!E21</f>
        <v>69.41</v>
      </c>
      <c r="E57" s="42">
        <f>AER_CF!F21</f>
        <v>69.186999999999998</v>
      </c>
      <c r="F57" s="42">
        <f>AER_CF!G21</f>
        <v>96.087000000000003</v>
      </c>
      <c r="G57" s="42">
        <f>AER_CF!H21</f>
        <v>102.848</v>
      </c>
      <c r="H57" s="37">
        <f ca="1">AER_IS!I15*H58</f>
        <v>126.21281258879681</v>
      </c>
      <c r="I57" s="37">
        <f ca="1">AER_IS!J15*I58</f>
        <v>133.11003393718408</v>
      </c>
      <c r="J57" s="37">
        <f ca="1">AER_IS!K15*J58</f>
        <v>137.1580324646728</v>
      </c>
      <c r="K57" s="37">
        <f ca="1">AER_IS!L15*K58</f>
        <v>141.85387188326246</v>
      </c>
      <c r="L57" s="37">
        <f ca="1">AER_IS!M15*L58</f>
        <v>147.14085604456284</v>
      </c>
      <c r="M57" s="141"/>
    </row>
    <row r="58" spans="3:13" x14ac:dyDescent="0.25">
      <c r="C58" s="33" t="s">
        <v>215</v>
      </c>
      <c r="D58" s="38">
        <f>D57/AER_Hist_IS!E11</f>
        <v>1.40582909687481E-2</v>
      </c>
      <c r="E58" s="38">
        <f>E57/AER_Hist_IS!F11</f>
        <v>1.5396769408971191E-2</v>
      </c>
      <c r="F58" s="38">
        <f>F57/AER_Hist_IS!G11</f>
        <v>1.8393468267644521E-2</v>
      </c>
      <c r="G58" s="38">
        <f>G57/AER_Hist_IS!H11</f>
        <v>1.4664344660007296E-2</v>
      </c>
      <c r="H58" s="35">
        <f ca="1">+OFFSET(H58,$E$5,)</f>
        <v>1.5628218326342778E-2</v>
      </c>
      <c r="I58" s="35">
        <f t="shared" ref="I58:L58" ca="1" si="37">+OFFSET(I58,$E$5,)</f>
        <v>1.5628218326342778E-2</v>
      </c>
      <c r="J58" s="35">
        <f t="shared" ca="1" si="37"/>
        <v>1.5628218326342778E-2</v>
      </c>
      <c r="K58" s="35">
        <f t="shared" ca="1" si="37"/>
        <v>1.5628218326342778E-2</v>
      </c>
      <c r="L58" s="35">
        <f t="shared" ca="1" si="37"/>
        <v>1.5628218326342778E-2</v>
      </c>
      <c r="M58" s="141"/>
    </row>
    <row r="59" spans="3:13" x14ac:dyDescent="0.25">
      <c r="C59" s="8" t="s">
        <v>104</v>
      </c>
      <c r="D59" s="3"/>
      <c r="E59" s="3"/>
      <c r="F59" s="3"/>
      <c r="H59" s="110">
        <f>AVERAGE(D58:G58)</f>
        <v>1.5628218326342778E-2</v>
      </c>
      <c r="I59" s="110">
        <f>H59</f>
        <v>1.5628218326342778E-2</v>
      </c>
      <c r="J59" s="110">
        <f>I59</f>
        <v>1.5628218326342778E-2</v>
      </c>
      <c r="K59" s="110">
        <f>J59</f>
        <v>1.5628218326342778E-2</v>
      </c>
      <c r="L59" s="110">
        <f>K59</f>
        <v>1.5628218326342778E-2</v>
      </c>
      <c r="M59" s="141"/>
    </row>
    <row r="60" spans="3:13" x14ac:dyDescent="0.25">
      <c r="C60" s="8" t="s">
        <v>106</v>
      </c>
      <c r="D60" s="3"/>
      <c r="E60" s="3"/>
      <c r="F60" s="3"/>
      <c r="H60" s="110">
        <f>H59</f>
        <v>1.5628218326342778E-2</v>
      </c>
      <c r="I60" s="110">
        <f t="shared" ref="I60:L60" si="38">I59</f>
        <v>1.5628218326342778E-2</v>
      </c>
      <c r="J60" s="110">
        <f t="shared" si="38"/>
        <v>1.5628218326342778E-2</v>
      </c>
      <c r="K60" s="110">
        <f t="shared" si="38"/>
        <v>1.5628218326342778E-2</v>
      </c>
      <c r="L60" s="110">
        <f t="shared" si="38"/>
        <v>1.5628218326342778E-2</v>
      </c>
      <c r="M60" s="141"/>
    </row>
    <row r="61" spans="3:13" x14ac:dyDescent="0.25">
      <c r="C61" s="8" t="s">
        <v>107</v>
      </c>
      <c r="D61" s="3"/>
      <c r="E61" s="3"/>
      <c r="F61" s="3"/>
      <c r="H61" s="110">
        <f>H60</f>
        <v>1.5628218326342778E-2</v>
      </c>
      <c r="I61" s="110">
        <f t="shared" ref="I61:L61" si="39">I60</f>
        <v>1.5628218326342778E-2</v>
      </c>
      <c r="J61" s="110">
        <f t="shared" si="39"/>
        <v>1.5628218326342778E-2</v>
      </c>
      <c r="K61" s="110">
        <f t="shared" si="39"/>
        <v>1.5628218326342778E-2</v>
      </c>
      <c r="L61" s="110">
        <f t="shared" si="39"/>
        <v>1.5628218326342778E-2</v>
      </c>
      <c r="M61" s="141"/>
    </row>
    <row r="62" spans="3:13" x14ac:dyDescent="0.25"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41"/>
    </row>
    <row r="63" spans="3:13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3" x14ac:dyDescent="0.25">
      <c r="C64" s="30" t="s">
        <v>214</v>
      </c>
      <c r="D64" s="42">
        <f>-AER_CF!E50</f>
        <v>639.94100000000003</v>
      </c>
      <c r="E64" s="42">
        <f>-AER_CF!F50</f>
        <v>127.777</v>
      </c>
      <c r="F64" s="42">
        <f>-AER_CF!G50</f>
        <v>76.22</v>
      </c>
      <c r="G64" s="42">
        <f>-AER_CF!H50</f>
        <v>17.419</v>
      </c>
      <c r="H64" s="37">
        <f t="shared" ref="H64" ca="1" si="40">+G64*(1+H65)</f>
        <v>1254.7515365000002</v>
      </c>
      <c r="I64" s="37">
        <f ca="1">+H64*(1+I65)</f>
        <v>627.37576825000008</v>
      </c>
      <c r="J64" s="37">
        <f ca="1">+I64*(1+J65)</f>
        <v>564.63819142500006</v>
      </c>
      <c r="K64" s="37">
        <f t="shared" ref="K64" ca="1" si="41">+J64*(1+K65)</f>
        <v>508.17437228250009</v>
      </c>
      <c r="L64" s="37">
        <f t="shared" ref="L64" ca="1" si="42">+K64*(1+L65)</f>
        <v>457.35693505425007</v>
      </c>
    </row>
    <row r="65" spans="3:12" x14ac:dyDescent="0.25">
      <c r="C65" s="33" t="s">
        <v>287</v>
      </c>
      <c r="D65" s="38"/>
      <c r="E65" s="38">
        <f>+E64/D64-1</f>
        <v>-0.80033003042467976</v>
      </c>
      <c r="F65" s="38">
        <f t="shared" ref="F65" si="43">+F64/E64-1</f>
        <v>-0.40349202125578154</v>
      </c>
      <c r="G65" s="38">
        <f t="shared" ref="G65" si="44">+G64/F64-1</f>
        <v>-0.77146418262923122</v>
      </c>
      <c r="H65" s="35">
        <f ca="1">+OFFSET(H65,$E$5,)</f>
        <v>71.033500000000004</v>
      </c>
      <c r="I65" s="35">
        <f ca="1">+OFFSET(I65,$E$5,)</f>
        <v>-0.5</v>
      </c>
      <c r="J65" s="35">
        <f t="shared" ref="J65:L65" ca="1" si="45">+OFFSET(J65,$E$5,)</f>
        <v>-0.1</v>
      </c>
      <c r="K65" s="35">
        <f t="shared" ca="1" si="45"/>
        <v>-0.1</v>
      </c>
      <c r="L65" s="35">
        <f t="shared" ca="1" si="45"/>
        <v>-0.1</v>
      </c>
    </row>
    <row r="66" spans="3:12" x14ac:dyDescent="0.25">
      <c r="C66" s="8" t="s">
        <v>104</v>
      </c>
      <c r="D66" s="3"/>
      <c r="E66" s="3"/>
      <c r="F66" s="3"/>
      <c r="H66" s="110">
        <v>71.033500000000004</v>
      </c>
      <c r="I66" s="110">
        <v>-0.5</v>
      </c>
      <c r="J66" s="110">
        <v>-0.1</v>
      </c>
      <c r="K66" s="110">
        <f>J66</f>
        <v>-0.1</v>
      </c>
      <c r="L66" s="110">
        <f>K66</f>
        <v>-0.1</v>
      </c>
    </row>
    <row r="67" spans="3:12" x14ac:dyDescent="0.25">
      <c r="C67" s="8" t="s">
        <v>106</v>
      </c>
      <c r="D67" s="3"/>
      <c r="E67" s="3"/>
      <c r="F67" s="3"/>
      <c r="H67" s="110">
        <f>1500/17.4</f>
        <v>86.206896551724142</v>
      </c>
      <c r="I67" s="110">
        <v>-0.3</v>
      </c>
      <c r="J67" s="110">
        <v>0</v>
      </c>
      <c r="K67" s="110">
        <v>0</v>
      </c>
      <c r="L67" s="110">
        <v>0</v>
      </c>
    </row>
    <row r="68" spans="3:12" x14ac:dyDescent="0.25">
      <c r="C68" s="8" t="s">
        <v>107</v>
      </c>
      <c r="D68" s="3"/>
      <c r="E68" s="3"/>
      <c r="F68" s="3"/>
      <c r="H68" s="110">
        <f>1200/17.4</f>
        <v>68.965517241379317</v>
      </c>
      <c r="I68" s="110">
        <v>-0.8</v>
      </c>
      <c r="J68" s="110">
        <v>-0.2</v>
      </c>
      <c r="K68" s="110">
        <v>-0.2</v>
      </c>
      <c r="L68" s="110">
        <v>-0.2</v>
      </c>
    </row>
    <row r="69" spans="3:12" x14ac:dyDescent="0.25">
      <c r="C69" s="8"/>
      <c r="D69" s="3"/>
      <c r="E69" s="3"/>
      <c r="F69" s="129"/>
      <c r="G69" s="141"/>
      <c r="H69" s="139"/>
      <c r="I69" s="139"/>
      <c r="J69" s="139"/>
      <c r="K69" s="139"/>
      <c r="L69" s="139"/>
    </row>
    <row r="70" spans="3:12" s="141" customFormat="1" x14ac:dyDescent="0.25">
      <c r="C70" s="30" t="s">
        <v>331</v>
      </c>
      <c r="D70" s="42">
        <f>AER_IS!E19</f>
        <v>0</v>
      </c>
      <c r="E70" s="42">
        <f>AER_IS!F19</f>
        <v>0</v>
      </c>
      <c r="F70" s="42">
        <f>AER_IS!G19</f>
        <v>0</v>
      </c>
      <c r="G70" s="42">
        <f>AER_IS!H19</f>
        <v>2665.7</v>
      </c>
      <c r="H70" s="37">
        <f ca="1">H71</f>
        <v>-645</v>
      </c>
      <c r="I70" s="37">
        <f t="shared" ref="I70:L70" ca="1" si="46">I71</f>
        <v>0</v>
      </c>
      <c r="J70" s="37">
        <f t="shared" ca="1" si="46"/>
        <v>0</v>
      </c>
      <c r="K70" s="37">
        <f t="shared" ca="1" si="46"/>
        <v>0</v>
      </c>
      <c r="L70" s="37">
        <f t="shared" ca="1" si="46"/>
        <v>0</v>
      </c>
    </row>
    <row r="71" spans="3:12" s="141" customFormat="1" x14ac:dyDescent="0.25">
      <c r="C71" s="33"/>
      <c r="D71" s="38"/>
      <c r="E71" s="38"/>
      <c r="F71" s="38"/>
      <c r="G71" s="38"/>
      <c r="H71" s="309">
        <f ca="1">+OFFSET(H71,$E$5,)</f>
        <v>-645</v>
      </c>
      <c r="I71" s="309">
        <f ca="1">+OFFSET(I71,$E$5,)</f>
        <v>0</v>
      </c>
      <c r="J71" s="309">
        <f ca="1">+OFFSET(J71,$E$5,)</f>
        <v>0</v>
      </c>
      <c r="K71" s="309">
        <f ca="1">+OFFSET(K71,$E$5,)</f>
        <v>0</v>
      </c>
      <c r="L71" s="309">
        <f ca="1">+OFFSET(L71,$E$5,)</f>
        <v>0</v>
      </c>
    </row>
    <row r="72" spans="3:12" s="141" customFormat="1" x14ac:dyDescent="0.25">
      <c r="C72" s="8" t="s">
        <v>104</v>
      </c>
      <c r="D72" s="3"/>
      <c r="E72" s="3"/>
      <c r="F72" s="3"/>
      <c r="G72"/>
      <c r="H72" s="310">
        <v>-645</v>
      </c>
      <c r="I72" s="310">
        <v>0</v>
      </c>
      <c r="J72" s="310">
        <v>0</v>
      </c>
      <c r="K72" s="310">
        <f t="shared" ref="K72:L74" si="47">J72</f>
        <v>0</v>
      </c>
      <c r="L72" s="310">
        <f t="shared" si="47"/>
        <v>0</v>
      </c>
    </row>
    <row r="73" spans="3:12" s="141" customFormat="1" x14ac:dyDescent="0.25">
      <c r="C73" s="8" t="s">
        <v>106</v>
      </c>
      <c r="D73" s="3"/>
      <c r="E73" s="3"/>
      <c r="F73" s="3"/>
      <c r="G73"/>
      <c r="H73" s="310">
        <v>-645</v>
      </c>
      <c r="I73" s="310">
        <v>-2750</v>
      </c>
      <c r="J73" s="310">
        <v>0</v>
      </c>
      <c r="K73" s="310">
        <f t="shared" si="47"/>
        <v>0</v>
      </c>
      <c r="L73" s="310">
        <f t="shared" si="47"/>
        <v>0</v>
      </c>
    </row>
    <row r="74" spans="3:12" s="141" customFormat="1" x14ac:dyDescent="0.25">
      <c r="C74" s="8" t="s">
        <v>107</v>
      </c>
      <c r="D74" s="3"/>
      <c r="E74" s="3"/>
      <c r="F74" s="3"/>
      <c r="G74"/>
      <c r="H74" s="310">
        <v>-645</v>
      </c>
      <c r="I74" s="310">
        <v>0</v>
      </c>
      <c r="J74" s="310">
        <v>0</v>
      </c>
      <c r="K74" s="310">
        <f t="shared" si="47"/>
        <v>0</v>
      </c>
      <c r="L74" s="310">
        <f t="shared" si="47"/>
        <v>0</v>
      </c>
    </row>
    <row r="75" spans="3:12" x14ac:dyDescent="0.25"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3:12" x14ac:dyDescent="0.25">
      <c r="C76" s="30" t="s">
        <v>111</v>
      </c>
      <c r="D76" s="42">
        <f>AER_Hist_IS!E26</f>
        <v>1340.6000000000004</v>
      </c>
      <c r="E76" s="42">
        <f>AER_Hist_IS!F26</f>
        <v>-314.69499999999971</v>
      </c>
      <c r="F76" s="42">
        <f>AER_Hist_IS!G26</f>
        <v>1147.8739999999991</v>
      </c>
      <c r="G76" s="42">
        <f>AER_Hist_IS!H26</f>
        <v>-1002.6170000000013</v>
      </c>
      <c r="H76">
        <f ca="1">H77*AER_IS!I30</f>
        <v>403.28733073499984</v>
      </c>
      <c r="I76">
        <f ca="1">I77*AER_IS!J30</f>
        <v>287.8395938069599</v>
      </c>
      <c r="J76">
        <f ca="1">J77*AER_IS!K30</f>
        <v>304.76896824080416</v>
      </c>
      <c r="K76">
        <f ca="1">K77*AER_IS!L30</f>
        <v>327.16401518622041</v>
      </c>
      <c r="L76">
        <f ca="1">L77*AER_IS!M30</f>
        <v>348.0706235201643</v>
      </c>
    </row>
    <row r="77" spans="3:12" x14ac:dyDescent="0.25">
      <c r="C77" s="33" t="s">
        <v>112</v>
      </c>
      <c r="D77" s="62">
        <f>AER_Hist_IS!E28/-AER_Hist_IS!E26</f>
        <v>0.12509324183201548</v>
      </c>
      <c r="E77" s="62">
        <f>AER_Hist_IS!F28/-AER_Hist_IS!F26</f>
        <v>5.465609558461372E-2</v>
      </c>
      <c r="F77" s="62">
        <f>AER_Hist_IS!G28/-AER_Hist_IS!G26</f>
        <v>0.14156606038641883</v>
      </c>
      <c r="G77" s="62">
        <f>AER_Hist_IS!H28/-AER_Hist_IS!H26</f>
        <v>0.16367167123637419</v>
      </c>
      <c r="H77" s="63">
        <f t="shared" ref="H77:L77" ca="1" si="48">+OFFSET(H77,$E$5,)</f>
        <v>0.14099999999999999</v>
      </c>
      <c r="I77" s="63">
        <f t="shared" ca="1" si="48"/>
        <v>0.13</v>
      </c>
      <c r="J77" s="63">
        <f t="shared" ca="1" si="48"/>
        <v>0.13</v>
      </c>
      <c r="K77" s="63">
        <f t="shared" ca="1" si="48"/>
        <v>0.13</v>
      </c>
      <c r="L77" s="63">
        <f t="shared" ca="1" si="48"/>
        <v>0.13</v>
      </c>
    </row>
    <row r="78" spans="3:12" x14ac:dyDescent="0.25">
      <c r="C78" s="8" t="s">
        <v>104</v>
      </c>
      <c r="D78" s="3"/>
      <c r="E78" s="3"/>
      <c r="F78" s="3"/>
      <c r="H78" s="110">
        <v>0.14099999999999999</v>
      </c>
      <c r="I78" s="110">
        <v>0.13</v>
      </c>
      <c r="J78" s="110">
        <f>I78</f>
        <v>0.13</v>
      </c>
      <c r="K78" s="110">
        <f>J78</f>
        <v>0.13</v>
      </c>
      <c r="L78" s="110">
        <f>K78</f>
        <v>0.13</v>
      </c>
    </row>
    <row r="79" spans="3:12" x14ac:dyDescent="0.25">
      <c r="C79" s="8" t="s">
        <v>106</v>
      </c>
      <c r="D79" s="3"/>
      <c r="E79" s="3"/>
      <c r="F79" s="3"/>
      <c r="H79" s="110">
        <f>H78</f>
        <v>0.14099999999999999</v>
      </c>
      <c r="I79" s="110">
        <f t="shared" ref="I79:L79" si="49">I78</f>
        <v>0.13</v>
      </c>
      <c r="J79" s="110">
        <f t="shared" si="49"/>
        <v>0.13</v>
      </c>
      <c r="K79" s="110">
        <f t="shared" si="49"/>
        <v>0.13</v>
      </c>
      <c r="L79" s="110">
        <f t="shared" si="49"/>
        <v>0.13</v>
      </c>
    </row>
    <row r="80" spans="3:12" x14ac:dyDescent="0.25">
      <c r="C80" s="8" t="s">
        <v>107</v>
      </c>
      <c r="D80" s="3"/>
      <c r="E80" s="3"/>
      <c r="F80" s="3"/>
      <c r="H80" s="110">
        <f>H79</f>
        <v>0.14099999999999999</v>
      </c>
      <c r="I80" s="110">
        <f t="shared" ref="I80" si="50">I79</f>
        <v>0.13</v>
      </c>
      <c r="J80" s="110">
        <f t="shared" ref="J80" si="51">J79</f>
        <v>0.13</v>
      </c>
      <c r="K80" s="110">
        <f t="shared" ref="K80" si="52">K79</f>
        <v>0.13</v>
      </c>
      <c r="L80" s="110">
        <f t="shared" ref="L80" si="53">L79</f>
        <v>0.13</v>
      </c>
    </row>
    <row r="81" spans="3:13" x14ac:dyDescent="0.25">
      <c r="C81" s="8"/>
      <c r="D81" s="3"/>
      <c r="E81" s="3"/>
      <c r="F81" s="3"/>
      <c r="G81" s="141"/>
      <c r="H81" s="139"/>
      <c r="I81" s="139"/>
      <c r="J81" s="139"/>
      <c r="K81" s="139"/>
      <c r="L81" s="139"/>
    </row>
    <row r="82" spans="3:13" x14ac:dyDescent="0.25">
      <c r="C82" s="30" t="s">
        <v>217</v>
      </c>
      <c r="D82" s="42">
        <v>3359.1</v>
      </c>
      <c r="E82" s="42">
        <v>778.5</v>
      </c>
      <c r="F82" s="42">
        <v>1789.8</v>
      </c>
      <c r="G82" s="42">
        <v>3871.6</v>
      </c>
      <c r="H82" s="145">
        <f ca="1">H83*AER_IS!I15</f>
        <v>4441.7761176799995</v>
      </c>
      <c r="I82" s="145">
        <f ca="1">I83*AER_IS!J15</f>
        <v>4684.5083128924744</v>
      </c>
      <c r="J82" s="145">
        <f ca="1">J83*AER_IS!K15</f>
        <v>1316.445959487402</v>
      </c>
      <c r="K82" s="145">
        <f ca="1">K83*AER_IS!L15</f>
        <v>1361.5167345482521</v>
      </c>
      <c r="L82" s="145">
        <f ca="1">L83*AER_IS!M15</f>
        <v>1412.2613304858646</v>
      </c>
    </row>
    <row r="83" spans="3:13" x14ac:dyDescent="0.25">
      <c r="C83" s="33" t="s">
        <v>215</v>
      </c>
      <c r="D83" s="62">
        <f>D82/AER_Hist_IS!E11</f>
        <v>0.68035160917910598</v>
      </c>
      <c r="E83" s="62">
        <f>E82/AER_Hist_IS!F11</f>
        <v>0.17324620210276603</v>
      </c>
      <c r="F83" s="62">
        <f>F82/AER_Hist_IS!G11</f>
        <v>0.34261273122722286</v>
      </c>
      <c r="G83" s="62">
        <f>G82/AER_Hist_IS!H11</f>
        <v>0.55202314858513779</v>
      </c>
      <c r="H83" s="63">
        <f t="shared" ref="H83:L83" ca="1" si="54">+OFFSET(H83,$E$5,)</f>
        <v>0.55000000000000004</v>
      </c>
      <c r="I83" s="63">
        <f t="shared" ca="1" si="54"/>
        <v>0.55000000000000004</v>
      </c>
      <c r="J83" s="63">
        <f t="shared" ca="1" si="54"/>
        <v>0.15</v>
      </c>
      <c r="K83" s="63">
        <f t="shared" ca="1" si="54"/>
        <v>0.15</v>
      </c>
      <c r="L83" s="63">
        <f t="shared" ca="1" si="54"/>
        <v>0.15</v>
      </c>
    </row>
    <row r="84" spans="3:13" x14ac:dyDescent="0.25">
      <c r="C84" s="8" t="s">
        <v>104</v>
      </c>
      <c r="D84" s="3"/>
      <c r="E84" s="3"/>
      <c r="F84" s="3"/>
      <c r="H84" s="110">
        <v>0.55000000000000004</v>
      </c>
      <c r="I84" s="110">
        <v>0.55000000000000004</v>
      </c>
      <c r="J84" s="110">
        <v>0.15</v>
      </c>
      <c r="K84" s="110">
        <v>0.15</v>
      </c>
      <c r="L84" s="110">
        <v>0.15</v>
      </c>
    </row>
    <row r="85" spans="3:13" x14ac:dyDescent="0.25">
      <c r="C85" s="8" t="s">
        <v>106</v>
      </c>
      <c r="D85" s="3"/>
      <c r="E85" s="3"/>
      <c r="F85" s="3"/>
      <c r="H85" s="110">
        <v>0.65</v>
      </c>
      <c r="I85" s="110">
        <v>0.65</v>
      </c>
      <c r="J85" s="110">
        <v>0.2</v>
      </c>
      <c r="K85" s="110">
        <v>0.2</v>
      </c>
      <c r="L85" s="110">
        <v>0.2</v>
      </c>
    </row>
    <row r="86" spans="3:13" x14ac:dyDescent="0.25">
      <c r="C86" s="8" t="s">
        <v>107</v>
      </c>
      <c r="D86" s="3"/>
      <c r="E86" s="3"/>
      <c r="F86" s="3"/>
      <c r="H86" s="142">
        <v>0.35</v>
      </c>
      <c r="I86" s="142">
        <v>0.35</v>
      </c>
      <c r="J86" s="142">
        <v>0.05</v>
      </c>
      <c r="K86" s="142">
        <v>0.05</v>
      </c>
      <c r="L86" s="142">
        <v>0.05</v>
      </c>
    </row>
    <row r="87" spans="3:13" x14ac:dyDescent="0.25">
      <c r="C87" s="30"/>
      <c r="D87" s="42"/>
      <c r="E87" s="42"/>
      <c r="F87" s="42"/>
      <c r="G87" s="42"/>
      <c r="H87" s="140"/>
      <c r="I87" s="140"/>
      <c r="J87" s="140"/>
      <c r="K87" s="140"/>
      <c r="L87" s="140"/>
      <c r="M87" s="141"/>
    </row>
    <row r="88" spans="3:13" x14ac:dyDescent="0.25">
      <c r="C88" s="30" t="s">
        <v>279</v>
      </c>
      <c r="D88" s="42">
        <f>-AER_CF!E49</f>
        <v>6.3410000000000002</v>
      </c>
      <c r="E88" s="42">
        <f>-AER_CF!F49</f>
        <v>2.9350000000000001</v>
      </c>
      <c r="F88" s="42">
        <f>-AER_CF!G49</f>
        <v>0.32300000000000001</v>
      </c>
      <c r="G88" s="42">
        <f>-AER_CF!H49</f>
        <v>3.9569999999999999</v>
      </c>
      <c r="H88" s="144">
        <f ca="1">(H9+H15+H21)*H89</f>
        <v>8.0759565775999995</v>
      </c>
      <c r="I88" s="144">
        <f ca="1">(I9+I15+I21)*I89</f>
        <v>8.5172878416226805</v>
      </c>
      <c r="J88" s="144">
        <f ca="1">(J9+J15+J21)*J89</f>
        <v>8.7763063965826813</v>
      </c>
      <c r="K88" s="144">
        <f ca="1">(K9+K15+K21)*K89</f>
        <v>9.0767782303216809</v>
      </c>
      <c r="L88" s="144">
        <f ca="1">(L9+L15+L21)*L89</f>
        <v>9.4150755365724308</v>
      </c>
      <c r="M88" s="141"/>
    </row>
    <row r="89" spans="3:13" x14ac:dyDescent="0.25">
      <c r="C89" s="33" t="s">
        <v>215</v>
      </c>
      <c r="D89" s="62">
        <f>D88/AER_Hist_IS!E11</f>
        <v>1.2843051870455513E-3</v>
      </c>
      <c r="E89" s="62">
        <f>E88/AER_Hist_IS!F11</f>
        <v>6.5315042154350455E-4</v>
      </c>
      <c r="F89" s="62">
        <f>F88/AER_Hist_IS!G11</f>
        <v>6.1830323045252531E-5</v>
      </c>
      <c r="G89" s="62">
        <f>G88/AER_Hist_IS!H11</f>
        <v>5.6419971044307008E-4</v>
      </c>
      <c r="H89" s="63">
        <f ca="1">+OFFSET(H89,$E$5,)</f>
        <v>1E-3</v>
      </c>
      <c r="I89" s="63">
        <f t="shared" ref="I89:L89" ca="1" si="55">+OFFSET(I89,$E$5,)</f>
        <v>1E-3</v>
      </c>
      <c r="J89" s="63">
        <f t="shared" ca="1" si="55"/>
        <v>1E-3</v>
      </c>
      <c r="K89" s="63">
        <f t="shared" ca="1" si="55"/>
        <v>1E-3</v>
      </c>
      <c r="L89" s="63">
        <f t="shared" ca="1" si="55"/>
        <v>1E-3</v>
      </c>
      <c r="M89" s="141"/>
    </row>
    <row r="90" spans="3:13" x14ac:dyDescent="0.25">
      <c r="C90" s="8" t="s">
        <v>104</v>
      </c>
      <c r="D90" s="3"/>
      <c r="E90" s="3"/>
      <c r="F90" s="3"/>
      <c r="H90" s="110">
        <v>1E-3</v>
      </c>
      <c r="I90" s="110">
        <v>1E-3</v>
      </c>
      <c r="J90" s="110">
        <v>1E-3</v>
      </c>
      <c r="K90" s="110">
        <v>1E-3</v>
      </c>
      <c r="L90" s="110">
        <v>1E-3</v>
      </c>
      <c r="M90" s="141"/>
    </row>
    <row r="91" spans="3:13" x14ac:dyDescent="0.25">
      <c r="C91" s="8" t="s">
        <v>106</v>
      </c>
      <c r="D91" s="3"/>
      <c r="E91" s="3"/>
      <c r="F91" s="3"/>
      <c r="H91" s="110">
        <f>H90</f>
        <v>1E-3</v>
      </c>
      <c r="I91" s="110">
        <f t="shared" ref="I91:I92" si="56">I90</f>
        <v>1E-3</v>
      </c>
      <c r="J91" s="110">
        <f t="shared" ref="J91:J92" si="57">J90</f>
        <v>1E-3</v>
      </c>
      <c r="K91" s="110">
        <f t="shared" ref="K91:K92" si="58">K90</f>
        <v>1E-3</v>
      </c>
      <c r="L91" s="110">
        <f t="shared" ref="L91:L92" si="59">L90</f>
        <v>1E-3</v>
      </c>
      <c r="M91" s="141"/>
    </row>
    <row r="92" spans="3:13" x14ac:dyDescent="0.25">
      <c r="C92" s="8" t="s">
        <v>107</v>
      </c>
      <c r="D92" s="3"/>
      <c r="E92" s="3"/>
      <c r="F92" s="3"/>
      <c r="H92" s="110">
        <f>H91</f>
        <v>1E-3</v>
      </c>
      <c r="I92" s="110">
        <f t="shared" si="56"/>
        <v>1E-3</v>
      </c>
      <c r="J92" s="110">
        <f t="shared" si="57"/>
        <v>1E-3</v>
      </c>
      <c r="K92" s="110">
        <f t="shared" si="58"/>
        <v>1E-3</v>
      </c>
      <c r="L92" s="110">
        <f t="shared" si="59"/>
        <v>1E-3</v>
      </c>
      <c r="M92" s="141"/>
    </row>
    <row r="94" spans="3:13" x14ac:dyDescent="0.25">
      <c r="C94" s="30" t="s">
        <v>288</v>
      </c>
      <c r="D94" s="42">
        <f>AER_BS!E13</f>
        <v>47.9</v>
      </c>
      <c r="E94" s="42">
        <f>AER_BS!F13</f>
        <v>170.7</v>
      </c>
      <c r="F94" s="42">
        <f>AER_BS!G13</f>
        <v>181.45500000000001</v>
      </c>
      <c r="G94" s="42">
        <f>AER_BS!H13</f>
        <v>132.202</v>
      </c>
      <c r="H94" s="42">
        <f ca="1">AER_IS!I12*H95</f>
        <v>177.51122035728838</v>
      </c>
      <c r="I94" s="42">
        <f ca="1">AER_IS!J12*I95</f>
        <v>188.88968958219058</v>
      </c>
      <c r="J94" s="42">
        <f ca="1">AER_IS!K12*J95</f>
        <v>198.3341740613001</v>
      </c>
      <c r="K94" s="42">
        <f ca="1">AER_IS!L12*K95</f>
        <v>208.25088276436514</v>
      </c>
      <c r="L94" s="42">
        <f ca="1">AER_IS!M12*L95</f>
        <v>218.66342690258341</v>
      </c>
    </row>
    <row r="95" spans="3:13" x14ac:dyDescent="0.25">
      <c r="C95" s="33" t="s">
        <v>215</v>
      </c>
      <c r="D95" s="62">
        <f>D94/AER_IS!E15</f>
        <v>9.7016588013691691E-3</v>
      </c>
      <c r="E95" s="62">
        <f>E94/AER_IS!F15</f>
        <v>3.7987317532359871E-2</v>
      </c>
      <c r="F95" s="62">
        <f>F94/AER_IS!G15</f>
        <v>3.4735050365870893E-2</v>
      </c>
      <c r="G95" s="62">
        <f>G94/AER_IS!H15</f>
        <v>1.8849716987615554E-2</v>
      </c>
      <c r="H95" s="63">
        <f ca="1">+OFFSET(H95,$E$5,)</f>
        <v>2.531843592180387E-2</v>
      </c>
      <c r="I95" s="63">
        <f t="shared" ref="I95:L95" ca="1" si="60">+OFFSET(I95,$E$5,)</f>
        <v>2.531843592180387E-2</v>
      </c>
      <c r="J95" s="63">
        <f t="shared" ca="1" si="60"/>
        <v>2.531843592180387E-2</v>
      </c>
      <c r="K95" s="63">
        <f t="shared" ca="1" si="60"/>
        <v>2.531843592180387E-2</v>
      </c>
      <c r="L95" s="63">
        <f t="shared" ca="1" si="60"/>
        <v>2.531843592180387E-2</v>
      </c>
    </row>
    <row r="96" spans="3:13" x14ac:dyDescent="0.25">
      <c r="C96" s="8" t="s">
        <v>104</v>
      </c>
      <c r="D96" s="3"/>
      <c r="E96" s="3"/>
      <c r="F96" s="3"/>
      <c r="H96" s="110">
        <f>AVERAGE(D95:G95)</f>
        <v>2.531843592180387E-2</v>
      </c>
      <c r="I96" s="110">
        <f>H96</f>
        <v>2.531843592180387E-2</v>
      </c>
      <c r="J96" s="110">
        <f t="shared" ref="J96:L96" si="61">I96</f>
        <v>2.531843592180387E-2</v>
      </c>
      <c r="K96" s="110">
        <f t="shared" si="61"/>
        <v>2.531843592180387E-2</v>
      </c>
      <c r="L96" s="110">
        <f t="shared" si="61"/>
        <v>2.531843592180387E-2</v>
      </c>
    </row>
    <row r="97" spans="3:12" x14ac:dyDescent="0.25">
      <c r="C97" s="8" t="s">
        <v>106</v>
      </c>
      <c r="D97" s="3"/>
      <c r="E97" s="3"/>
      <c r="F97" s="3"/>
      <c r="H97" s="110">
        <f>H96</f>
        <v>2.531843592180387E-2</v>
      </c>
      <c r="I97" s="110">
        <f t="shared" ref="I97:I98" si="62">I96</f>
        <v>2.531843592180387E-2</v>
      </c>
      <c r="J97" s="110">
        <f t="shared" ref="J97:J98" si="63">J96</f>
        <v>2.531843592180387E-2</v>
      </c>
      <c r="K97" s="110">
        <f t="shared" ref="K97:K98" si="64">K96</f>
        <v>2.531843592180387E-2</v>
      </c>
      <c r="L97" s="110">
        <f t="shared" ref="L97:L98" si="65">L96</f>
        <v>2.531843592180387E-2</v>
      </c>
    </row>
    <row r="98" spans="3:12" x14ac:dyDescent="0.25">
      <c r="C98" s="8" t="s">
        <v>107</v>
      </c>
      <c r="D98" s="3"/>
      <c r="E98" s="3"/>
      <c r="F98" s="3"/>
      <c r="H98" s="110">
        <f>H97</f>
        <v>2.531843592180387E-2</v>
      </c>
      <c r="I98" s="110">
        <f t="shared" si="62"/>
        <v>2.531843592180387E-2</v>
      </c>
      <c r="J98" s="110">
        <f t="shared" si="63"/>
        <v>2.531843592180387E-2</v>
      </c>
      <c r="K98" s="110">
        <f t="shared" si="64"/>
        <v>2.531843592180387E-2</v>
      </c>
      <c r="L98" s="110">
        <f t="shared" si="65"/>
        <v>2.531843592180387E-2</v>
      </c>
    </row>
    <row r="99" spans="3:12" x14ac:dyDescent="0.25">
      <c r="C99" s="8"/>
      <c r="D99" s="3"/>
      <c r="E99" s="3"/>
      <c r="F99" s="3"/>
      <c r="H99" s="139"/>
      <c r="I99" s="139"/>
      <c r="J99" s="139"/>
      <c r="K99" s="139"/>
      <c r="L99" s="139"/>
    </row>
    <row r="100" spans="3:12" x14ac:dyDescent="0.25">
      <c r="C100" s="30" t="s">
        <v>289</v>
      </c>
      <c r="D100" s="42">
        <f>AER_BS!E26</f>
        <v>1032.5999999999999</v>
      </c>
      <c r="E100" s="42">
        <f>AER_BS!F26</f>
        <v>1109.3</v>
      </c>
      <c r="F100" s="42">
        <f>AER_BS!G26</f>
        <v>1958.096</v>
      </c>
      <c r="G100" s="42">
        <f>AER_BS!H26</f>
        <v>1494.953</v>
      </c>
      <c r="H100" s="42">
        <f ca="1">AER_IS!I$12*H101</f>
        <v>1829.8874415710575</v>
      </c>
      <c r="I100" s="42">
        <f ca="1">AER_IS!J$12*I101</f>
        <v>1947.1832265757625</v>
      </c>
      <c r="J100" s="42">
        <f ca="1">AER_IS!K$12*J101</f>
        <v>2044.5423879045507</v>
      </c>
      <c r="K100" s="42">
        <f ca="1">AER_IS!L$12*K101</f>
        <v>2146.7695072997785</v>
      </c>
      <c r="L100" s="42">
        <f ca="1">AER_IS!M$12*L101</f>
        <v>2254.1079826647674</v>
      </c>
    </row>
    <row r="101" spans="3:12" x14ac:dyDescent="0.25">
      <c r="C101" s="33" t="s">
        <v>294</v>
      </c>
      <c r="D101" s="62">
        <f>D100/AER_Hist_IS!E11</f>
        <v>0.20914264881615455</v>
      </c>
      <c r="E101" s="62">
        <f>E100/AER_Hist_IS!F11</f>
        <v>0.24686192934180903</v>
      </c>
      <c r="F101" s="62">
        <f>F100/AER_Hist_IS!G11</f>
        <v>0.37482881806073315</v>
      </c>
      <c r="G101" s="62">
        <f>G100/AER_Hist_IS!H11</f>
        <v>0.21315442247308539</v>
      </c>
      <c r="H101" s="63">
        <f ca="1">+OFFSET(H101,$E$5,)</f>
        <v>0.26099695467294554</v>
      </c>
      <c r="I101" s="63">
        <f t="shared" ref="I101:L101" ca="1" si="66">+OFFSET(I101,$E$5,)</f>
        <v>0.26099695467294554</v>
      </c>
      <c r="J101" s="63">
        <f t="shared" ca="1" si="66"/>
        <v>0.26099695467294554</v>
      </c>
      <c r="K101" s="63">
        <f t="shared" ca="1" si="66"/>
        <v>0.26099695467294554</v>
      </c>
      <c r="L101" s="63">
        <f t="shared" ca="1" si="66"/>
        <v>0.26099695467294554</v>
      </c>
    </row>
    <row r="102" spans="3:12" x14ac:dyDescent="0.25">
      <c r="C102" s="8" t="s">
        <v>104</v>
      </c>
      <c r="D102" s="3"/>
      <c r="E102" s="3"/>
      <c r="F102" s="3"/>
      <c r="H102" s="110">
        <f>AVERAGE(D101:G101)</f>
        <v>0.26099695467294554</v>
      </c>
      <c r="I102" s="110">
        <f>H102</f>
        <v>0.26099695467294554</v>
      </c>
      <c r="J102" s="110">
        <f t="shared" ref="J102:L102" si="67">I102</f>
        <v>0.26099695467294554</v>
      </c>
      <c r="K102" s="110">
        <f>J102</f>
        <v>0.26099695467294554</v>
      </c>
      <c r="L102" s="110">
        <f t="shared" si="67"/>
        <v>0.26099695467294554</v>
      </c>
    </row>
    <row r="103" spans="3:12" x14ac:dyDescent="0.25">
      <c r="C103" s="8" t="s">
        <v>106</v>
      </c>
      <c r="D103" s="3"/>
      <c r="E103" s="3"/>
      <c r="F103" s="3"/>
      <c r="H103" s="110">
        <f>H102</f>
        <v>0.26099695467294554</v>
      </c>
      <c r="I103" s="110">
        <f t="shared" ref="I103:I104" si="68">I102</f>
        <v>0.26099695467294554</v>
      </c>
      <c r="J103" s="110">
        <f t="shared" ref="J103:J104" si="69">J102</f>
        <v>0.26099695467294554</v>
      </c>
      <c r="K103" s="110">
        <f t="shared" ref="K103:K104" si="70">K102</f>
        <v>0.26099695467294554</v>
      </c>
      <c r="L103" s="110">
        <f t="shared" ref="L103:L104" si="71">L102</f>
        <v>0.26099695467294554</v>
      </c>
    </row>
    <row r="104" spans="3:12" x14ac:dyDescent="0.25">
      <c r="C104" s="8" t="s">
        <v>107</v>
      </c>
      <c r="D104" s="3"/>
      <c r="E104" s="3"/>
      <c r="F104" s="3"/>
      <c r="H104" s="110">
        <f>H103</f>
        <v>0.26099695467294554</v>
      </c>
      <c r="I104" s="110">
        <f t="shared" si="68"/>
        <v>0.26099695467294554</v>
      </c>
      <c r="J104" s="110">
        <f t="shared" si="69"/>
        <v>0.26099695467294554</v>
      </c>
      <c r="K104" s="110">
        <f t="shared" si="70"/>
        <v>0.26099695467294554</v>
      </c>
      <c r="L104" s="110">
        <f t="shared" si="71"/>
        <v>0.26099695467294554</v>
      </c>
    </row>
    <row r="106" spans="3:12" x14ac:dyDescent="0.25">
      <c r="C106" s="30" t="s">
        <v>290</v>
      </c>
      <c r="D106" s="42">
        <f>AER_CF!E20</f>
        <v>162.49799999999999</v>
      </c>
      <c r="E106" s="42">
        <f>AER_CF!F20</f>
        <v>-20.882000000000001</v>
      </c>
      <c r="F106" s="42">
        <f>AER_CF!G20</f>
        <v>-5.9050000000000002</v>
      </c>
      <c r="G106" s="42">
        <f>AER_CF!H20</f>
        <v>-9.5860000000000003</v>
      </c>
      <c r="H106" s="42">
        <f ca="1">AER_IS!I32*H107</f>
        <v>-9.8735620306341225</v>
      </c>
      <c r="I106" s="42">
        <f ca="1">AER_IS!J32*I107</f>
        <v>-7.047089922576883</v>
      </c>
      <c r="J106" s="42">
        <f ca="1">AER_IS!K32*J107</f>
        <v>-7.4615666885783156</v>
      </c>
      <c r="K106" s="42">
        <f ca="1">AER_IS!L32*K107</f>
        <v>-8.0098578654708223</v>
      </c>
      <c r="L106" s="42">
        <f ca="1">AER_IS!M32*L107</f>
        <v>-8.5217080489594963</v>
      </c>
    </row>
    <row r="107" spans="3:12" x14ac:dyDescent="0.25">
      <c r="C107" s="33" t="s">
        <v>291</v>
      </c>
      <c r="D107" s="62">
        <f>D106/AER_Hist_IS!E17</f>
        <v>0.12548108108108108</v>
      </c>
      <c r="E107" s="62">
        <f>E106/AER_Hist_IS!F17</f>
        <v>-1.6729690754686749E-2</v>
      </c>
      <c r="F107" s="62">
        <f>F106/AER_Hist_IS!G17</f>
        <v>-4.7988622511174325E-3</v>
      </c>
      <c r="G107" s="62">
        <f>G106/AER_Hist_IS!H17</f>
        <v>-6.0217350336076387E-3</v>
      </c>
      <c r="H107" s="63">
        <f ca="1">+OFFSET(H107,$E$5,)</f>
        <v>2.4482698260417313E-2</v>
      </c>
      <c r="I107" s="63">
        <f t="shared" ref="I107:L107" ca="1" si="72">+OFFSET(I107,$E$5,)</f>
        <v>2.4482698260417313E-2</v>
      </c>
      <c r="J107" s="63">
        <f t="shared" ca="1" si="72"/>
        <v>2.4482698260417313E-2</v>
      </c>
      <c r="K107" s="63">
        <f t="shared" ca="1" si="72"/>
        <v>2.4482698260417313E-2</v>
      </c>
      <c r="L107" s="63">
        <f t="shared" ca="1" si="72"/>
        <v>2.4482698260417313E-2</v>
      </c>
    </row>
    <row r="108" spans="3:12" x14ac:dyDescent="0.25">
      <c r="C108" s="8" t="s">
        <v>104</v>
      </c>
      <c r="D108" s="3"/>
      <c r="E108" s="3"/>
      <c r="F108" s="3"/>
      <c r="H108" s="110">
        <f>AVERAGE(D107:G107)</f>
        <v>2.4482698260417313E-2</v>
      </c>
      <c r="I108" s="110">
        <f>H108</f>
        <v>2.4482698260417313E-2</v>
      </c>
      <c r="J108" s="110">
        <f t="shared" ref="J108:L108" si="73">I108</f>
        <v>2.4482698260417313E-2</v>
      </c>
      <c r="K108" s="110">
        <f>J108</f>
        <v>2.4482698260417313E-2</v>
      </c>
      <c r="L108" s="110">
        <f t="shared" si="73"/>
        <v>2.4482698260417313E-2</v>
      </c>
    </row>
    <row r="109" spans="3:12" x14ac:dyDescent="0.25">
      <c r="C109" s="8" t="s">
        <v>106</v>
      </c>
      <c r="D109" s="3"/>
      <c r="E109" s="3"/>
      <c r="F109" s="3"/>
      <c r="H109" s="110">
        <f>H108</f>
        <v>2.4482698260417313E-2</v>
      </c>
      <c r="I109" s="110">
        <f t="shared" ref="I109:I110" si="74">I108</f>
        <v>2.4482698260417313E-2</v>
      </c>
      <c r="J109" s="110">
        <f t="shared" ref="J109:J110" si="75">J108</f>
        <v>2.4482698260417313E-2</v>
      </c>
      <c r="K109" s="110">
        <f t="shared" ref="K109:K110" si="76">K108</f>
        <v>2.4482698260417313E-2</v>
      </c>
      <c r="L109" s="110">
        <f t="shared" ref="L109:L110" si="77">L108</f>
        <v>2.4482698260417313E-2</v>
      </c>
    </row>
    <row r="110" spans="3:12" x14ac:dyDescent="0.25">
      <c r="C110" s="8" t="s">
        <v>107</v>
      </c>
      <c r="D110" s="3"/>
      <c r="E110" s="3"/>
      <c r="F110" s="3"/>
      <c r="H110" s="110">
        <f>H109</f>
        <v>2.4482698260417313E-2</v>
      </c>
      <c r="I110" s="110">
        <f t="shared" si="74"/>
        <v>2.4482698260417313E-2</v>
      </c>
      <c r="J110" s="110">
        <f t="shared" si="75"/>
        <v>2.4482698260417313E-2</v>
      </c>
      <c r="K110" s="110">
        <f t="shared" si="76"/>
        <v>2.4482698260417313E-2</v>
      </c>
      <c r="L110" s="110">
        <f t="shared" si="77"/>
        <v>2.4482698260417313E-2</v>
      </c>
    </row>
    <row r="112" spans="3:12" x14ac:dyDescent="0.25">
      <c r="C112" s="30" t="s">
        <v>292</v>
      </c>
      <c r="D112" s="42">
        <f>AER_CF!D36</f>
        <v>-1912.2149999999999</v>
      </c>
      <c r="E112" s="42">
        <f>AER_CF!E36</f>
        <v>-1369.4</v>
      </c>
      <c r="F112" s="42">
        <f>AER_CF!F36</f>
        <v>-405.178</v>
      </c>
      <c r="G112" s="42">
        <f>AER_CF!G36</f>
        <v>-86.385999999999996</v>
      </c>
      <c r="H112" s="42">
        <f ca="1">G112*H113</f>
        <v>-35.280556959453357</v>
      </c>
      <c r="I112" s="42">
        <f t="shared" ref="I112:J112" ca="1" si="78">H112*I113</f>
        <v>-14.408789611386483</v>
      </c>
      <c r="J112" s="42">
        <f t="shared" ca="1" si="78"/>
        <v>-5.8846355034531133</v>
      </c>
      <c r="K112" s="42">
        <f ca="1">J112*K113</f>
        <v>-2.4033201915263938</v>
      </c>
      <c r="L112" s="42">
        <f ca="1">K112*L113</f>
        <v>-0.98153028163071898</v>
      </c>
    </row>
    <row r="113" spans="3:12" x14ac:dyDescent="0.25">
      <c r="C113" s="33" t="s">
        <v>293</v>
      </c>
      <c r="D113" s="62"/>
      <c r="E113" s="62">
        <f>E112/D112</f>
        <v>0.71613286162905332</v>
      </c>
      <c r="F113" s="62">
        <f t="shared" ref="F113:G113" si="79">F112/E112</f>
        <v>0.29587994742222867</v>
      </c>
      <c r="G113" s="62">
        <f t="shared" si="79"/>
        <v>0.21320506049193194</v>
      </c>
      <c r="H113" s="63">
        <f ca="1">+OFFSET(H113,$E$5,)</f>
        <v>0.40840595651440464</v>
      </c>
      <c r="I113" s="63">
        <f t="shared" ref="I113:L113" ca="1" si="80">+OFFSET(I113,$E$5,)</f>
        <v>0.40840595651440464</v>
      </c>
      <c r="J113" s="63">
        <f t="shared" ca="1" si="80"/>
        <v>0.40840595651440464</v>
      </c>
      <c r="K113" s="63">
        <f t="shared" ca="1" si="80"/>
        <v>0.40840595651440464</v>
      </c>
      <c r="L113" s="63">
        <f t="shared" ca="1" si="80"/>
        <v>0.40840595651440464</v>
      </c>
    </row>
    <row r="114" spans="3:12" x14ac:dyDescent="0.25">
      <c r="C114" s="8" t="s">
        <v>104</v>
      </c>
      <c r="D114" s="236"/>
      <c r="E114" s="236"/>
      <c r="F114" s="236"/>
      <c r="G114" s="237"/>
      <c r="H114" s="110">
        <f>AVERAGE(D113:G113)</f>
        <v>0.40840595651440464</v>
      </c>
      <c r="I114" s="110">
        <f>H114</f>
        <v>0.40840595651440464</v>
      </c>
      <c r="J114" s="110">
        <f t="shared" ref="J114:L114" si="81">I114</f>
        <v>0.40840595651440464</v>
      </c>
      <c r="K114" s="110">
        <f>J114</f>
        <v>0.40840595651440464</v>
      </c>
      <c r="L114" s="110">
        <f t="shared" si="81"/>
        <v>0.40840595651440464</v>
      </c>
    </row>
    <row r="115" spans="3:12" x14ac:dyDescent="0.25">
      <c r="C115" s="8" t="s">
        <v>106</v>
      </c>
      <c r="D115" s="236"/>
      <c r="E115" s="236"/>
      <c r="F115" s="236"/>
      <c r="G115" s="237"/>
      <c r="H115" s="110">
        <f>H114</f>
        <v>0.40840595651440464</v>
      </c>
      <c r="I115" s="110">
        <f t="shared" ref="I115:I116" si="82">I114</f>
        <v>0.40840595651440464</v>
      </c>
      <c r="J115" s="110">
        <f t="shared" ref="J115:J116" si="83">J114</f>
        <v>0.40840595651440464</v>
      </c>
      <c r="K115" s="110">
        <f t="shared" ref="K115:K116" si="84">K114</f>
        <v>0.40840595651440464</v>
      </c>
      <c r="L115" s="110">
        <f t="shared" ref="L115:L116" si="85">L114</f>
        <v>0.40840595651440464</v>
      </c>
    </row>
    <row r="116" spans="3:12" x14ac:dyDescent="0.25">
      <c r="C116" s="8" t="s">
        <v>107</v>
      </c>
      <c r="D116" s="236"/>
      <c r="E116" s="236"/>
      <c r="F116" s="236"/>
      <c r="G116" s="237"/>
      <c r="H116" s="110">
        <f>H115</f>
        <v>0.40840595651440464</v>
      </c>
      <c r="I116" s="110">
        <f t="shared" si="82"/>
        <v>0.40840595651440464</v>
      </c>
      <c r="J116" s="110">
        <f t="shared" si="83"/>
        <v>0.40840595651440464</v>
      </c>
      <c r="K116" s="110">
        <f t="shared" si="84"/>
        <v>0.40840595651440464</v>
      </c>
      <c r="L116" s="110">
        <f t="shared" si="85"/>
        <v>0.40840595651440464</v>
      </c>
    </row>
    <row r="118" spans="3:12" x14ac:dyDescent="0.25">
      <c r="C118" s="30" t="s">
        <v>295</v>
      </c>
      <c r="D118" s="42">
        <f>AER_CF!E17</f>
        <v>244.74799999999999</v>
      </c>
      <c r="E118" s="42">
        <f>AER_CF!F17</f>
        <v>133.01499999999999</v>
      </c>
      <c r="F118" s="42">
        <f>AER_CF!G17</f>
        <v>138.78</v>
      </c>
      <c r="G118" s="42">
        <f>AER_CF!H17</f>
        <v>389.85199999999998</v>
      </c>
      <c r="H118" s="42">
        <f ca="1">AER_IS!I12*H119</f>
        <v>300.61482683038707</v>
      </c>
      <c r="I118" s="42">
        <f ca="1">AER_IS!J12*I119</f>
        <v>319.88423723021492</v>
      </c>
      <c r="J118" s="42">
        <f ca="1">AER_IS!K12*J119</f>
        <v>335.87844909172566</v>
      </c>
      <c r="K118" s="42">
        <f ca="1">AER_IS!L12*K119</f>
        <v>352.67237154631198</v>
      </c>
      <c r="L118" s="42">
        <f ca="1">AER_IS!M12*L119</f>
        <v>370.30599012362762</v>
      </c>
    </row>
    <row r="119" spans="3:12" x14ac:dyDescent="0.25">
      <c r="C119" s="33" t="s">
        <v>296</v>
      </c>
      <c r="D119" s="62">
        <f>D118/AER_IS!E15</f>
        <v>4.9571223138152425E-2</v>
      </c>
      <c r="E119" s="62">
        <f>E118/AER_IS!F12</f>
        <v>3.078338347604721E-2</v>
      </c>
      <c r="F119" s="62">
        <f>F118/AER_IS!G12</f>
        <v>3.1455122393472347E-2</v>
      </c>
      <c r="G119" s="62">
        <f>G118/AER_IS!H12</f>
        <v>5.9697113544139035E-2</v>
      </c>
      <c r="H119" s="63">
        <f ca="1">+OFFSET(H119,$E$5,)</f>
        <v>4.2876710637952752E-2</v>
      </c>
      <c r="I119" s="63">
        <f t="shared" ref="I119:L119" ca="1" si="86">+OFFSET(I119,$E$5,)</f>
        <v>4.2876710637952752E-2</v>
      </c>
      <c r="J119" s="63">
        <f t="shared" ca="1" si="86"/>
        <v>4.2876710637952752E-2</v>
      </c>
      <c r="K119" s="63">
        <f t="shared" ca="1" si="86"/>
        <v>4.2876710637952752E-2</v>
      </c>
      <c r="L119" s="63">
        <f t="shared" ca="1" si="86"/>
        <v>4.2876710637952752E-2</v>
      </c>
    </row>
    <row r="120" spans="3:12" x14ac:dyDescent="0.25">
      <c r="C120" s="8" t="s">
        <v>104</v>
      </c>
      <c r="D120" s="3"/>
      <c r="E120" s="3"/>
      <c r="F120" s="3"/>
      <c r="H120" s="110">
        <f>AVERAGE(D119:G119)</f>
        <v>4.2876710637952752E-2</v>
      </c>
      <c r="I120" s="110">
        <f>H120</f>
        <v>4.2876710637952752E-2</v>
      </c>
      <c r="J120" s="110">
        <f t="shared" ref="J120" si="87">I120</f>
        <v>4.2876710637952752E-2</v>
      </c>
      <c r="K120" s="110">
        <f>J120</f>
        <v>4.2876710637952752E-2</v>
      </c>
      <c r="L120" s="110">
        <f t="shared" ref="L120" si="88">K120</f>
        <v>4.2876710637952752E-2</v>
      </c>
    </row>
    <row r="121" spans="3:12" x14ac:dyDescent="0.25">
      <c r="C121" s="8" t="s">
        <v>106</v>
      </c>
      <c r="D121" s="3"/>
      <c r="E121" s="3"/>
      <c r="F121" s="3"/>
      <c r="H121" s="110">
        <f>H120</f>
        <v>4.2876710637952752E-2</v>
      </c>
      <c r="I121" s="110">
        <f t="shared" ref="I121:I122" si="89">I120</f>
        <v>4.2876710637952752E-2</v>
      </c>
      <c r="J121" s="110">
        <f t="shared" ref="J121:J122" si="90">J120</f>
        <v>4.2876710637952752E-2</v>
      </c>
      <c r="K121" s="110">
        <f t="shared" ref="K121:K122" si="91">K120</f>
        <v>4.2876710637952752E-2</v>
      </c>
      <c r="L121" s="110">
        <f t="shared" ref="L121:L122" si="92">L120</f>
        <v>4.2876710637952752E-2</v>
      </c>
    </row>
    <row r="122" spans="3:12" x14ac:dyDescent="0.25">
      <c r="C122" s="8" t="s">
        <v>107</v>
      </c>
      <c r="D122" s="3"/>
      <c r="E122" s="3"/>
      <c r="F122" s="3"/>
      <c r="H122" s="110">
        <f>H121</f>
        <v>4.2876710637952752E-2</v>
      </c>
      <c r="I122" s="110">
        <f t="shared" si="89"/>
        <v>4.2876710637952752E-2</v>
      </c>
      <c r="J122" s="110">
        <f t="shared" si="90"/>
        <v>4.2876710637952752E-2</v>
      </c>
      <c r="K122" s="110">
        <f t="shared" si="91"/>
        <v>4.2876710637952752E-2</v>
      </c>
      <c r="L122" s="110">
        <f t="shared" si="92"/>
        <v>4.2876710637952752E-2</v>
      </c>
    </row>
    <row r="124" spans="3:12" x14ac:dyDescent="0.25">
      <c r="C124" s="30" t="s">
        <v>298</v>
      </c>
      <c r="D124" s="42">
        <f>AER_CF!E22</f>
        <v>98.364999999999995</v>
      </c>
      <c r="E124" s="42">
        <f>AER_CF!F22</f>
        <v>68.128</v>
      </c>
      <c r="F124" s="42">
        <f>AER_CF!G22</f>
        <v>124.325</v>
      </c>
      <c r="G124" s="42">
        <f>AER_CF!H22</f>
        <v>630.42700000000002</v>
      </c>
      <c r="H124" s="42">
        <v>326.61599999999999</v>
      </c>
      <c r="I124" s="42">
        <v>357.42500000000001</v>
      </c>
      <c r="J124" s="42">
        <v>220.07599999999999</v>
      </c>
      <c r="K124" s="42">
        <v>171.42599999999999</v>
      </c>
      <c r="L124" s="42">
        <v>130.15100000000001</v>
      </c>
    </row>
    <row r="125" spans="3:12" x14ac:dyDescent="0.25">
      <c r="C125" s="33" t="s">
        <v>299</v>
      </c>
      <c r="D125" s="62"/>
      <c r="E125" s="62"/>
      <c r="F125" s="62"/>
      <c r="G125" s="62"/>
      <c r="H125" s="63"/>
      <c r="I125" s="63"/>
      <c r="J125" s="63"/>
      <c r="K125" s="63"/>
      <c r="L125" s="63"/>
    </row>
    <row r="126" spans="3:12" x14ac:dyDescent="0.25">
      <c r="C126" s="8" t="s">
        <v>104</v>
      </c>
      <c r="D126" s="3"/>
      <c r="E126" s="3"/>
      <c r="F126" s="3"/>
      <c r="H126" s="110"/>
      <c r="I126" s="110"/>
      <c r="J126" s="110"/>
      <c r="K126" s="110"/>
      <c r="L126" s="110"/>
    </row>
    <row r="127" spans="3:12" x14ac:dyDescent="0.25">
      <c r="C127" s="8" t="s">
        <v>106</v>
      </c>
      <c r="D127" s="3"/>
      <c r="E127" s="3"/>
      <c r="F127" s="3"/>
      <c r="H127" s="110"/>
      <c r="I127" s="110"/>
      <c r="J127" s="110"/>
      <c r="K127" s="110"/>
      <c r="L127" s="110"/>
    </row>
    <row r="128" spans="3:12" x14ac:dyDescent="0.25">
      <c r="C128" s="8" t="s">
        <v>107</v>
      </c>
      <c r="E128" s="3"/>
      <c r="F128" s="3"/>
      <c r="H128" s="142"/>
      <c r="I128" s="142"/>
      <c r="J128" s="142"/>
      <c r="K128" s="142"/>
      <c r="L128" s="142"/>
    </row>
    <row r="130" spans="3:12" x14ac:dyDescent="0.25">
      <c r="C130" s="30" t="s">
        <v>301</v>
      </c>
      <c r="D130" s="42">
        <f>AER_CF!E18</f>
        <v>-207.84899999999999</v>
      </c>
      <c r="E130" s="42">
        <f>AER_CF!F18</f>
        <v>-344.21</v>
      </c>
      <c r="F130" s="42">
        <f>AER_CF!G18</f>
        <v>-273.14600000000002</v>
      </c>
      <c r="G130" s="42">
        <f>AER_CF!H18</f>
        <v>-203.49</v>
      </c>
      <c r="H130" s="42">
        <f ca="1">G130*(1+H131)</f>
        <v>-216.68896101393696</v>
      </c>
      <c r="I130" s="42">
        <f t="shared" ref="I130:L130" ca="1" si="93">H130*(1+I131)</f>
        <v>-230.74404553196464</v>
      </c>
      <c r="J130" s="42">
        <f t="shared" ca="1" si="93"/>
        <v>-245.71078424725528</v>
      </c>
      <c r="K130" s="42">
        <f t="shared" ca="1" si="93"/>
        <v>-261.64830973736974</v>
      </c>
      <c r="L130" s="42">
        <f t="shared" ca="1" si="93"/>
        <v>-278.6195900930926</v>
      </c>
    </row>
    <row r="131" spans="3:12" x14ac:dyDescent="0.25">
      <c r="C131" s="33" t="s">
        <v>287</v>
      </c>
      <c r="D131" s="62"/>
      <c r="E131" s="62">
        <f>+E130/D130-1</f>
        <v>0.65605800364687816</v>
      </c>
      <c r="F131" s="62">
        <f t="shared" ref="F131:G131" si="94">+F130/E130-1</f>
        <v>-0.20645536155254052</v>
      </c>
      <c r="G131" s="62">
        <f t="shared" si="94"/>
        <v>-0.25501380214244396</v>
      </c>
      <c r="H131" s="63">
        <f ca="1">+OFFSET(H131,$E$5,)</f>
        <v>6.4862946650631234E-2</v>
      </c>
      <c r="I131" s="63">
        <f t="shared" ref="I131:L131" ca="1" si="95">+OFFSET(I131,$E$5,)</f>
        <v>6.4862946650631234E-2</v>
      </c>
      <c r="J131" s="63">
        <f t="shared" ca="1" si="95"/>
        <v>6.4862946650631234E-2</v>
      </c>
      <c r="K131" s="63">
        <f t="shared" ca="1" si="95"/>
        <v>6.4862946650631234E-2</v>
      </c>
      <c r="L131" s="63">
        <f t="shared" ca="1" si="95"/>
        <v>6.4862946650631234E-2</v>
      </c>
    </row>
    <row r="132" spans="3:12" x14ac:dyDescent="0.25">
      <c r="C132" s="8" t="s">
        <v>104</v>
      </c>
      <c r="D132" s="3"/>
      <c r="E132" s="3"/>
      <c r="F132" s="3"/>
      <c r="H132" s="110">
        <f>AVERAGE(D131:G131)</f>
        <v>6.4862946650631234E-2</v>
      </c>
      <c r="I132" s="110">
        <f>H132</f>
        <v>6.4862946650631234E-2</v>
      </c>
      <c r="J132" s="110">
        <f t="shared" ref="J132" si="96">I132</f>
        <v>6.4862946650631234E-2</v>
      </c>
      <c r="K132" s="110">
        <f>J132</f>
        <v>6.4862946650631234E-2</v>
      </c>
      <c r="L132" s="110">
        <f t="shared" ref="L132" si="97">K132</f>
        <v>6.4862946650631234E-2</v>
      </c>
    </row>
    <row r="133" spans="3:12" x14ac:dyDescent="0.25">
      <c r="C133" s="8" t="s">
        <v>106</v>
      </c>
      <c r="D133" s="3"/>
      <c r="E133" s="3"/>
      <c r="F133" s="3"/>
      <c r="H133" s="110">
        <f>H132</f>
        <v>6.4862946650631234E-2</v>
      </c>
      <c r="I133" s="110">
        <f t="shared" ref="I133:I134" si="98">I132</f>
        <v>6.4862946650631234E-2</v>
      </c>
      <c r="J133" s="110">
        <f t="shared" ref="J133:J134" si="99">J132</f>
        <v>6.4862946650631234E-2</v>
      </c>
      <c r="K133" s="110">
        <f t="shared" ref="K133:K134" si="100">K132</f>
        <v>6.4862946650631234E-2</v>
      </c>
      <c r="L133" s="110">
        <f t="shared" ref="L133:L134" si="101">L132</f>
        <v>6.4862946650631234E-2</v>
      </c>
    </row>
    <row r="134" spans="3:12" x14ac:dyDescent="0.25">
      <c r="C134" s="8" t="s">
        <v>107</v>
      </c>
      <c r="D134" s="3"/>
      <c r="E134" s="3"/>
      <c r="F134" s="3"/>
      <c r="H134" s="110">
        <f>H133</f>
        <v>6.4862946650631234E-2</v>
      </c>
      <c r="I134" s="110">
        <f t="shared" si="98"/>
        <v>6.4862946650631234E-2</v>
      </c>
      <c r="J134" s="110">
        <f t="shared" si="99"/>
        <v>6.4862946650631234E-2</v>
      </c>
      <c r="K134" s="110">
        <f t="shared" si="100"/>
        <v>6.4862946650631234E-2</v>
      </c>
      <c r="L134" s="110">
        <f t="shared" si="101"/>
        <v>6.4862946650631234E-2</v>
      </c>
    </row>
    <row r="136" spans="3:12" x14ac:dyDescent="0.25">
      <c r="C136" s="30" t="s">
        <v>252</v>
      </c>
      <c r="D136" s="42"/>
      <c r="E136" s="42"/>
      <c r="F136" s="42"/>
      <c r="G136" s="42"/>
      <c r="H136" s="242">
        <f ca="1">1-H137</f>
        <v>0.9</v>
      </c>
      <c r="I136" s="242">
        <f t="shared" ref="I136:L136" ca="1" si="102">1-I137</f>
        <v>0.9</v>
      </c>
      <c r="J136" s="242">
        <f t="shared" ca="1" si="102"/>
        <v>0.8</v>
      </c>
      <c r="K136" s="242">
        <f t="shared" ca="1" si="102"/>
        <v>0.8</v>
      </c>
      <c r="L136" s="242">
        <f t="shared" ca="1" si="102"/>
        <v>0.8</v>
      </c>
    </row>
    <row r="137" spans="3:12" x14ac:dyDescent="0.25">
      <c r="C137" s="33" t="s">
        <v>302</v>
      </c>
      <c r="D137" s="62"/>
      <c r="E137" s="62"/>
      <c r="F137" s="62"/>
      <c r="G137" s="62"/>
      <c r="H137" s="63">
        <f ca="1">+OFFSET(H137,$E$5,)</f>
        <v>0.1</v>
      </c>
      <c r="I137" s="63">
        <f ca="1">+OFFSET(I137,$E$5,)</f>
        <v>0.1</v>
      </c>
      <c r="J137" s="63">
        <f ca="1">+OFFSET(J137,$E$5,)</f>
        <v>0.2</v>
      </c>
      <c r="K137" s="63">
        <f ca="1">+OFFSET(K137,$E$5,)</f>
        <v>0.2</v>
      </c>
      <c r="L137" s="63">
        <f ca="1">+OFFSET(L137,$E$5,)</f>
        <v>0.2</v>
      </c>
    </row>
    <row r="138" spans="3:12" x14ac:dyDescent="0.25">
      <c r="C138" s="8" t="s">
        <v>104</v>
      </c>
      <c r="D138" s="3"/>
      <c r="E138" s="3"/>
      <c r="F138" s="3"/>
      <c r="H138" s="110">
        <v>0.1</v>
      </c>
      <c r="I138" s="110">
        <f>H138</f>
        <v>0.1</v>
      </c>
      <c r="J138" s="110">
        <v>0.2</v>
      </c>
      <c r="K138" s="110">
        <f t="shared" ref="K138:L138" si="103">J138</f>
        <v>0.2</v>
      </c>
      <c r="L138" s="110">
        <f t="shared" si="103"/>
        <v>0.2</v>
      </c>
    </row>
    <row r="139" spans="3:12" x14ac:dyDescent="0.25">
      <c r="C139" s="8" t="s">
        <v>106</v>
      </c>
      <c r="D139" s="3"/>
      <c r="E139" s="3"/>
      <c r="F139" s="3"/>
      <c r="H139" s="110">
        <v>0.1</v>
      </c>
      <c r="I139" s="110">
        <v>0.1</v>
      </c>
      <c r="J139" s="110">
        <v>0.25</v>
      </c>
      <c r="K139" s="110">
        <v>0.25</v>
      </c>
      <c r="L139" s="110">
        <v>0.25</v>
      </c>
    </row>
    <row r="140" spans="3:12" x14ac:dyDescent="0.25">
      <c r="C140" s="8" t="s">
        <v>107</v>
      </c>
      <c r="D140" s="3"/>
      <c r="E140" s="3"/>
      <c r="F140" s="3"/>
      <c r="H140" s="142">
        <v>0</v>
      </c>
      <c r="I140" s="142">
        <v>0</v>
      </c>
      <c r="J140" s="142">
        <v>0.1</v>
      </c>
      <c r="K140" s="142">
        <v>0.1</v>
      </c>
      <c r="L140" s="142">
        <v>0.1</v>
      </c>
    </row>
    <row r="142" spans="3:12" x14ac:dyDescent="0.25">
      <c r="C142" s="30" t="s">
        <v>306</v>
      </c>
      <c r="D142" s="42">
        <f>AER_CF!E47</f>
        <v>232.21899999999999</v>
      </c>
      <c r="E142" s="42">
        <f>AER_CF!F47</f>
        <v>137.13</v>
      </c>
      <c r="F142" s="42">
        <f>AER_CF!G47</f>
        <v>210.78100000000001</v>
      </c>
      <c r="G142" s="42">
        <f>AER_CF!H47</f>
        <v>332.822</v>
      </c>
      <c r="H142" s="42">
        <f ca="1">H9*H143</f>
        <v>315.62334080634179</v>
      </c>
      <c r="I142" s="42">
        <f ca="1">I9*I143</f>
        <v>335.85479695202832</v>
      </c>
      <c r="J142" s="42">
        <f ca="1">J9*J143</f>
        <v>352.64753679962973</v>
      </c>
      <c r="K142" s="42">
        <f ca="1">K9*K143</f>
        <v>370.27991363961127</v>
      </c>
      <c r="L142" s="42">
        <f ca="1">L9*L143</f>
        <v>388.79390932159185</v>
      </c>
    </row>
    <row r="143" spans="3:12" x14ac:dyDescent="0.25">
      <c r="C143" s="33" t="s">
        <v>296</v>
      </c>
      <c r="D143" s="62">
        <f>D142/D9</f>
        <v>4.9595070798539177E-2</v>
      </c>
      <c r="E143" s="62">
        <f>E142/E9</f>
        <v>3.1735709326544778E-2</v>
      </c>
      <c r="F143" s="62">
        <f>F142/F9</f>
        <v>4.777447869446963E-2</v>
      </c>
      <c r="G143" s="62">
        <f>G142/G9</f>
        <v>5.0964244697955748E-2</v>
      </c>
      <c r="H143" s="63">
        <f ca="1">+OFFSET(H143,$E$5,)</f>
        <v>4.5017375879377333E-2</v>
      </c>
      <c r="I143" s="63">
        <f t="shared" ref="I143:L143" ca="1" si="104">+OFFSET(I143,$E$5,)</f>
        <v>4.5017375879377333E-2</v>
      </c>
      <c r="J143" s="63">
        <f t="shared" ca="1" si="104"/>
        <v>4.5017375879377333E-2</v>
      </c>
      <c r="K143" s="63">
        <f t="shared" ca="1" si="104"/>
        <v>4.5017375879377333E-2</v>
      </c>
      <c r="L143" s="63">
        <f t="shared" ca="1" si="104"/>
        <v>4.5017375879377333E-2</v>
      </c>
    </row>
    <row r="144" spans="3:12" x14ac:dyDescent="0.25">
      <c r="C144" s="8" t="s">
        <v>104</v>
      </c>
      <c r="D144" s="3"/>
      <c r="E144" s="3"/>
      <c r="F144" s="3"/>
      <c r="H144" s="110">
        <f>AVERAGE(D143:G143)</f>
        <v>4.5017375879377333E-2</v>
      </c>
      <c r="I144" s="110">
        <f>H144</f>
        <v>4.5017375879377333E-2</v>
      </c>
      <c r="J144" s="110">
        <f t="shared" ref="J144" si="105">I144</f>
        <v>4.5017375879377333E-2</v>
      </c>
      <c r="K144" s="110">
        <f>J144</f>
        <v>4.5017375879377333E-2</v>
      </c>
      <c r="L144" s="110">
        <f t="shared" ref="L144" si="106">K144</f>
        <v>4.5017375879377333E-2</v>
      </c>
    </row>
    <row r="145" spans="3:12" x14ac:dyDescent="0.25">
      <c r="C145" s="8" t="s">
        <v>106</v>
      </c>
      <c r="D145" s="3"/>
      <c r="E145" s="3"/>
      <c r="F145" s="3"/>
      <c r="H145" s="110">
        <f>H144</f>
        <v>4.5017375879377333E-2</v>
      </c>
      <c r="I145" s="110">
        <f t="shared" ref="I145:I146" si="107">I144</f>
        <v>4.5017375879377333E-2</v>
      </c>
      <c r="J145" s="110">
        <f t="shared" ref="J145:J146" si="108">J144</f>
        <v>4.5017375879377333E-2</v>
      </c>
      <c r="K145" s="110">
        <f t="shared" ref="K145:K146" si="109">K144</f>
        <v>4.5017375879377333E-2</v>
      </c>
      <c r="L145" s="110">
        <f t="shared" ref="L145:L146" si="110">L144</f>
        <v>4.5017375879377333E-2</v>
      </c>
    </row>
    <row r="146" spans="3:12" x14ac:dyDescent="0.25">
      <c r="C146" s="8" t="s">
        <v>107</v>
      </c>
      <c r="D146" s="3"/>
      <c r="E146" s="3"/>
      <c r="F146" s="3"/>
      <c r="H146" s="110">
        <f>H145</f>
        <v>4.5017375879377333E-2</v>
      </c>
      <c r="I146" s="110">
        <f t="shared" si="107"/>
        <v>4.5017375879377333E-2</v>
      </c>
      <c r="J146" s="110">
        <f t="shared" si="108"/>
        <v>4.5017375879377333E-2</v>
      </c>
      <c r="K146" s="110">
        <f t="shared" si="109"/>
        <v>4.5017375879377333E-2</v>
      </c>
      <c r="L146" s="110">
        <f t="shared" si="110"/>
        <v>4.5017375879377333E-2</v>
      </c>
    </row>
    <row r="148" spans="3:12" x14ac:dyDescent="0.25">
      <c r="C148" s="30" t="s">
        <v>303</v>
      </c>
      <c r="D148" s="42">
        <f>AER_Proj_CF!D45</f>
        <v>-297.46899999999999</v>
      </c>
      <c r="E148" s="42">
        <f>AER_Proj_CF!E45</f>
        <v>-290.75799999999998</v>
      </c>
      <c r="F148" s="42">
        <f>AER_Proj_CF!F45</f>
        <v>-245.084</v>
      </c>
      <c r="G148" s="42">
        <f ca="1">AER_Proj_CF!G45</f>
        <v>-446.43893002347153</v>
      </c>
      <c r="H148" s="42">
        <f ca="1">H9*H149</f>
        <v>-446.43893002347153</v>
      </c>
      <c r="I148" s="42">
        <f ca="1">I9*I149</f>
        <v>-475.05566543797613</v>
      </c>
      <c r="J148" s="42">
        <f ca="1">J9*J149</f>
        <v>-498.80844870987494</v>
      </c>
      <c r="K148" s="42">
        <f ca="1">K9*K149</f>
        <v>-523.74887114536875</v>
      </c>
      <c r="L148" s="42">
        <f ca="1">L9*L149</f>
        <v>-549.93631470263722</v>
      </c>
    </row>
    <row r="149" spans="3:12" x14ac:dyDescent="0.25">
      <c r="C149" s="33" t="s">
        <v>296</v>
      </c>
      <c r="D149" s="62">
        <f>D148/D9</f>
        <v>-6.3530529867800015E-2</v>
      </c>
      <c r="E149" s="62">
        <f>E148/E9</f>
        <v>-6.7289516315667666E-2</v>
      </c>
      <c r="F149" s="62">
        <f>F148/F9</f>
        <v>-5.5549410698096102E-2</v>
      </c>
      <c r="G149" s="62">
        <f ca="1">G148/G9</f>
        <v>-6.8362136134058879E-2</v>
      </c>
      <c r="H149" s="63">
        <f ca="1">+OFFSET(H149,$E$5,)</f>
        <v>-6.3682898253905662E-2</v>
      </c>
      <c r="I149" s="63">
        <f t="shared" ref="I149:L149" ca="1" si="111">+OFFSET(I149,$E$5,)</f>
        <v>-6.3682898253905662E-2</v>
      </c>
      <c r="J149" s="63">
        <f t="shared" ca="1" si="111"/>
        <v>-6.3682898253905662E-2</v>
      </c>
      <c r="K149" s="63">
        <f t="shared" ca="1" si="111"/>
        <v>-6.3682898253905662E-2</v>
      </c>
      <c r="L149" s="63">
        <f t="shared" ca="1" si="111"/>
        <v>-6.3682898253905662E-2</v>
      </c>
    </row>
    <row r="150" spans="3:12" x14ac:dyDescent="0.25">
      <c r="C150" s="8" t="s">
        <v>104</v>
      </c>
      <c r="D150" s="3"/>
      <c r="E150" s="3"/>
      <c r="F150" s="3"/>
      <c r="H150" s="110">
        <f ca="1">AVERAGE(D149:G149)</f>
        <v>-6.3682898253905662E-2</v>
      </c>
      <c r="I150" s="110">
        <f ca="1">H150</f>
        <v>-6.3682898253905662E-2</v>
      </c>
      <c r="J150" s="110">
        <f t="shared" ref="J150" ca="1" si="112">I150</f>
        <v>-6.3682898253905662E-2</v>
      </c>
      <c r="K150" s="110">
        <f ca="1">J150</f>
        <v>-6.3682898253905662E-2</v>
      </c>
      <c r="L150" s="110">
        <f t="shared" ref="L150" ca="1" si="113">K150</f>
        <v>-6.3682898253905662E-2</v>
      </c>
    </row>
    <row r="151" spans="3:12" x14ac:dyDescent="0.25">
      <c r="C151" s="8" t="s">
        <v>106</v>
      </c>
      <c r="D151" s="3"/>
      <c r="E151" s="3"/>
      <c r="F151" s="3"/>
      <c r="H151" s="110">
        <f ca="1">H150</f>
        <v>-6.3682898253905662E-2</v>
      </c>
      <c r="I151" s="110">
        <f t="shared" ref="I151:I152" ca="1" si="114">I150</f>
        <v>-6.3682898253905662E-2</v>
      </c>
      <c r="J151" s="110">
        <f t="shared" ref="J151:J152" ca="1" si="115">J150</f>
        <v>-6.3682898253905662E-2</v>
      </c>
      <c r="K151" s="110">
        <f t="shared" ref="K151:K152" ca="1" si="116">K150</f>
        <v>-6.3682898253905662E-2</v>
      </c>
      <c r="L151" s="110">
        <f t="shared" ref="L151:L152" ca="1" si="117">L150</f>
        <v>-6.3682898253905662E-2</v>
      </c>
    </row>
    <row r="152" spans="3:12" x14ac:dyDescent="0.25">
      <c r="C152" s="8" t="s">
        <v>107</v>
      </c>
      <c r="D152" s="3"/>
      <c r="E152" s="3"/>
      <c r="F152" s="3"/>
      <c r="H152" s="110">
        <f ca="1">H151</f>
        <v>-6.3682898253905662E-2</v>
      </c>
      <c r="I152" s="110">
        <f t="shared" ca="1" si="114"/>
        <v>-6.3682898253905662E-2</v>
      </c>
      <c r="J152" s="110">
        <f t="shared" ca="1" si="115"/>
        <v>-6.3682898253905662E-2</v>
      </c>
      <c r="K152" s="110">
        <f t="shared" ca="1" si="116"/>
        <v>-6.3682898253905662E-2</v>
      </c>
      <c r="L152" s="110">
        <f t="shared" ca="1" si="117"/>
        <v>-6.3682898253905662E-2</v>
      </c>
    </row>
    <row r="154" spans="3:12" x14ac:dyDescent="0.25">
      <c r="C154" s="30" t="s">
        <v>305</v>
      </c>
      <c r="D154" s="42">
        <f>AER_CF!E45</f>
        <v>736.423</v>
      </c>
      <c r="E154" s="42">
        <f>AER_CF!F45</f>
        <v>345.69900000000001</v>
      </c>
      <c r="F154" s="42">
        <f>AER_CF!G45</f>
        <v>448.51600000000002</v>
      </c>
      <c r="G154" s="42">
        <f>AER_CF!H45</f>
        <v>779.82399999999996</v>
      </c>
      <c r="H154" s="42">
        <f ca="1">H9*H155</f>
        <v>803.39525403098662</v>
      </c>
      <c r="I154" s="42">
        <f ca="1">I9*I155</f>
        <v>854.89288981437301</v>
      </c>
      <c r="J154" s="42">
        <f ca="1">J9*J155</f>
        <v>897.63753430509166</v>
      </c>
      <c r="K154" s="42">
        <f ca="1">K9*K155</f>
        <v>942.5194110203463</v>
      </c>
      <c r="L154" s="42">
        <f ca="1">L9*L155</f>
        <v>989.64538157136371</v>
      </c>
    </row>
    <row r="155" spans="3:12" x14ac:dyDescent="0.25">
      <c r="C155" s="33" t="s">
        <v>296</v>
      </c>
      <c r="D155" s="62">
        <f>D154/D9</f>
        <v>0.15727804711359802</v>
      </c>
      <c r="E155" s="62">
        <f>E154/E9</f>
        <v>8.0004397130293919E-2</v>
      </c>
      <c r="F155" s="62">
        <f>F154/F9</f>
        <v>0.1016582048957389</v>
      </c>
      <c r="G155" s="62">
        <f>G154/G9</f>
        <v>0.11941260240410381</v>
      </c>
      <c r="H155" s="63">
        <f ca="1">+OFFSET(H155,$E$5,)</f>
        <v>0.11458831288593366</v>
      </c>
      <c r="I155" s="63">
        <f t="shared" ref="I155:L155" ca="1" si="118">+OFFSET(I155,$E$5,)</f>
        <v>0.11458831288593366</v>
      </c>
      <c r="J155" s="63">
        <f t="shared" ca="1" si="118"/>
        <v>0.11458831288593366</v>
      </c>
      <c r="K155" s="63">
        <f t="shared" ca="1" si="118"/>
        <v>0.11458831288593366</v>
      </c>
      <c r="L155" s="63">
        <f t="shared" ca="1" si="118"/>
        <v>0.11458831288593366</v>
      </c>
    </row>
    <row r="156" spans="3:12" x14ac:dyDescent="0.25">
      <c r="C156" s="8" t="s">
        <v>104</v>
      </c>
      <c r="D156" s="3"/>
      <c r="E156" s="3"/>
      <c r="F156" s="3"/>
      <c r="H156" s="110">
        <f>AVERAGE(D155:G155)</f>
        <v>0.11458831288593366</v>
      </c>
      <c r="I156" s="110">
        <f>H156</f>
        <v>0.11458831288593366</v>
      </c>
      <c r="J156" s="110">
        <f t="shared" ref="J156" si="119">I156</f>
        <v>0.11458831288593366</v>
      </c>
      <c r="K156" s="110">
        <f>J156</f>
        <v>0.11458831288593366</v>
      </c>
      <c r="L156" s="110">
        <f t="shared" ref="L156" si="120">K156</f>
        <v>0.11458831288593366</v>
      </c>
    </row>
    <row r="157" spans="3:12" x14ac:dyDescent="0.25">
      <c r="C157" s="8" t="s">
        <v>106</v>
      </c>
      <c r="D157" s="3"/>
      <c r="E157" s="3"/>
      <c r="F157" s="3"/>
      <c r="H157" s="110">
        <f>H156</f>
        <v>0.11458831288593366</v>
      </c>
      <c r="I157" s="110">
        <f t="shared" ref="I157:I158" si="121">I156</f>
        <v>0.11458831288593366</v>
      </c>
      <c r="J157" s="110">
        <f t="shared" ref="J157:J158" si="122">J156</f>
        <v>0.11458831288593366</v>
      </c>
      <c r="K157" s="110">
        <f t="shared" ref="K157:K158" si="123">K156</f>
        <v>0.11458831288593366</v>
      </c>
      <c r="L157" s="110">
        <f t="shared" ref="L157:L158" si="124">L156</f>
        <v>0.11458831288593366</v>
      </c>
    </row>
    <row r="158" spans="3:12" x14ac:dyDescent="0.25">
      <c r="C158" s="8" t="s">
        <v>107</v>
      </c>
      <c r="D158" s="3"/>
      <c r="E158" s="3"/>
      <c r="F158" s="3"/>
      <c r="H158" s="110">
        <f>H157</f>
        <v>0.11458831288593366</v>
      </c>
      <c r="I158" s="110">
        <f t="shared" si="121"/>
        <v>0.11458831288593366</v>
      </c>
      <c r="J158" s="110">
        <f t="shared" si="122"/>
        <v>0.11458831288593366</v>
      </c>
      <c r="K158" s="110">
        <f t="shared" si="123"/>
        <v>0.11458831288593366</v>
      </c>
      <c r="L158" s="110">
        <f t="shared" si="124"/>
        <v>0.11458831288593366</v>
      </c>
    </row>
    <row r="160" spans="3:12" x14ac:dyDescent="0.25">
      <c r="C160" s="30" t="s">
        <v>304</v>
      </c>
      <c r="D160" s="42">
        <f>AER_CF!E46</f>
        <v>-352.03199999999998</v>
      </c>
      <c r="E160" s="42">
        <f>AER_CF!F46</f>
        <v>-412.49200000000002</v>
      </c>
      <c r="F160" s="42">
        <f>AER_CF!G46</f>
        <v>-209.08699999999999</v>
      </c>
      <c r="G160" s="42">
        <f>AER_CF!H46</f>
        <v>-245.29400000000001</v>
      </c>
      <c r="H160" s="42">
        <f ca="1">H9*H161</f>
        <v>-448.00784146754074</v>
      </c>
      <c r="I160" s="42">
        <f ca="1">I9*I161</f>
        <v>-476.72514410561013</v>
      </c>
      <c r="J160" s="42">
        <f ca="1">J9*J161</f>
        <v>-500.56140131089063</v>
      </c>
      <c r="K160" s="42">
        <f ca="1">K9*K161</f>
        <v>-525.5894713764352</v>
      </c>
      <c r="L160" s="42">
        <f ca="1">L9*L161</f>
        <v>-551.868944945257</v>
      </c>
    </row>
    <row r="161" spans="3:12" x14ac:dyDescent="0.25">
      <c r="C161" s="33" t="s">
        <v>296</v>
      </c>
      <c r="D161" s="62">
        <f>D160/D9</f>
        <v>-7.518356363325715E-2</v>
      </c>
      <c r="E161" s="62">
        <f>E160/E9</f>
        <v>-9.5462161536681328E-2</v>
      </c>
      <c r="F161" s="62">
        <f>F160/F9</f>
        <v>-4.7390525838621939E-2</v>
      </c>
      <c r="G161" s="62">
        <f>G160/G9</f>
        <v>-3.7561289334660443E-2</v>
      </c>
      <c r="H161" s="63">
        <f ca="1">+OFFSET(H161,$E$5,)</f>
        <v>-6.3899385085805213E-2</v>
      </c>
      <c r="I161" s="63">
        <f t="shared" ref="I161:L161" ca="1" si="125">+OFFSET(I161,$E$5,)</f>
        <v>-6.3899385085805213E-2</v>
      </c>
      <c r="J161" s="63">
        <f t="shared" ca="1" si="125"/>
        <v>-6.3899385085805213E-2</v>
      </c>
      <c r="K161" s="63">
        <f t="shared" ca="1" si="125"/>
        <v>-6.3899385085805213E-2</v>
      </c>
      <c r="L161" s="63">
        <f t="shared" ca="1" si="125"/>
        <v>-6.3899385085805213E-2</v>
      </c>
    </row>
    <row r="162" spans="3:12" x14ac:dyDescent="0.25">
      <c r="C162" s="8" t="s">
        <v>104</v>
      </c>
      <c r="D162" s="3"/>
      <c r="E162" s="3"/>
      <c r="F162" s="3"/>
      <c r="H162" s="110">
        <f>AVERAGE(D161:G161)</f>
        <v>-6.3899385085805213E-2</v>
      </c>
      <c r="I162" s="110">
        <f>H162</f>
        <v>-6.3899385085805213E-2</v>
      </c>
      <c r="J162" s="110">
        <f t="shared" ref="J162" si="126">I162</f>
        <v>-6.3899385085805213E-2</v>
      </c>
      <c r="K162" s="110">
        <f>J162</f>
        <v>-6.3899385085805213E-2</v>
      </c>
      <c r="L162" s="110">
        <f t="shared" ref="L162" si="127">K162</f>
        <v>-6.3899385085805213E-2</v>
      </c>
    </row>
    <row r="163" spans="3:12" x14ac:dyDescent="0.25">
      <c r="C163" s="8" t="s">
        <v>106</v>
      </c>
      <c r="D163" s="3"/>
      <c r="E163" s="3"/>
      <c r="F163" s="3"/>
      <c r="H163" s="110">
        <f>H162</f>
        <v>-6.3899385085805213E-2</v>
      </c>
      <c r="I163" s="110">
        <f t="shared" ref="I163:I164" si="128">I162</f>
        <v>-6.3899385085805213E-2</v>
      </c>
      <c r="J163" s="110">
        <f t="shared" ref="J163:J164" si="129">J162</f>
        <v>-6.3899385085805213E-2</v>
      </c>
      <c r="K163" s="110">
        <f t="shared" ref="K163:K164" si="130">K162</f>
        <v>-6.3899385085805213E-2</v>
      </c>
      <c r="L163" s="110">
        <f t="shared" ref="L163:L164" si="131">L162</f>
        <v>-6.3899385085805213E-2</v>
      </c>
    </row>
    <row r="164" spans="3:12" x14ac:dyDescent="0.25">
      <c r="C164" s="8" t="s">
        <v>107</v>
      </c>
      <c r="D164" s="3"/>
      <c r="E164" s="3"/>
      <c r="F164" s="3"/>
      <c r="H164" s="110">
        <f>H163</f>
        <v>-6.3899385085805213E-2</v>
      </c>
      <c r="I164" s="110">
        <f t="shared" si="128"/>
        <v>-6.3899385085805213E-2</v>
      </c>
      <c r="J164" s="110">
        <f t="shared" si="129"/>
        <v>-6.3899385085805213E-2</v>
      </c>
      <c r="K164" s="110">
        <f t="shared" si="130"/>
        <v>-6.3899385085805213E-2</v>
      </c>
      <c r="L164" s="110">
        <f t="shared" si="131"/>
        <v>-6.3899385085805213E-2</v>
      </c>
    </row>
    <row r="166" spans="3:12" x14ac:dyDescent="0.25">
      <c r="C166" s="30" t="s">
        <v>333</v>
      </c>
      <c r="D166" s="311">
        <f>AER_BS!E45</f>
        <v>0.86213183730715293</v>
      </c>
      <c r="E166" s="311">
        <f>AER_BS!F45</f>
        <v>0.66540145985401455</v>
      </c>
      <c r="F166" s="311">
        <f>AER_BS!G45</f>
        <v>0.96432783018867918</v>
      </c>
      <c r="G166" s="311">
        <f>AER_BS!H45</f>
        <v>0.88564920273348524</v>
      </c>
      <c r="H166" s="311">
        <f ca="1">H167</f>
        <v>0.84437758252083306</v>
      </c>
      <c r="I166" s="311">
        <f t="shared" ref="I166:L166" ca="1" si="132">I167</f>
        <v>0.84437758252083306</v>
      </c>
      <c r="J166" s="311">
        <f t="shared" ca="1" si="132"/>
        <v>0.84437758252083306</v>
      </c>
      <c r="K166" s="311">
        <f t="shared" ca="1" si="132"/>
        <v>0.84437758252083306</v>
      </c>
      <c r="L166" s="311">
        <f t="shared" ca="1" si="132"/>
        <v>0.84437758252083306</v>
      </c>
    </row>
    <row r="167" spans="3:12" x14ac:dyDescent="0.25">
      <c r="C167" s="33" t="s">
        <v>335</v>
      </c>
      <c r="D167" s="62"/>
      <c r="E167" s="62"/>
      <c r="F167" s="62"/>
      <c r="G167" s="323">
        <f>AVERAGE(D166:G166)</f>
        <v>0.84437758252083306</v>
      </c>
      <c r="H167" s="312">
        <f ca="1">+OFFSET(H167,$E$5,)</f>
        <v>0.84437758252083306</v>
      </c>
      <c r="I167" s="312">
        <f t="shared" ref="I167:L167" ca="1" si="133">+OFFSET(I167,$E$5,)</f>
        <v>0.84437758252083306</v>
      </c>
      <c r="J167" s="312">
        <f t="shared" ca="1" si="133"/>
        <v>0.84437758252083306</v>
      </c>
      <c r="K167" s="312">
        <f t="shared" ca="1" si="133"/>
        <v>0.84437758252083306</v>
      </c>
      <c r="L167" s="312">
        <f t="shared" ca="1" si="133"/>
        <v>0.84437758252083306</v>
      </c>
    </row>
    <row r="168" spans="3:12" x14ac:dyDescent="0.25">
      <c r="C168" s="8" t="s">
        <v>104</v>
      </c>
      <c r="D168" s="3"/>
      <c r="E168" s="3"/>
      <c r="F168" s="3"/>
      <c r="H168" s="313">
        <f>G167</f>
        <v>0.84437758252083306</v>
      </c>
      <c r="I168" s="313">
        <f>H168</f>
        <v>0.84437758252083306</v>
      </c>
      <c r="J168" s="313">
        <f t="shared" ref="J168:L170" si="134">I168</f>
        <v>0.84437758252083306</v>
      </c>
      <c r="K168" s="313">
        <f t="shared" si="134"/>
        <v>0.84437758252083306</v>
      </c>
      <c r="L168" s="313">
        <f t="shared" si="134"/>
        <v>0.84437758252083306</v>
      </c>
    </row>
    <row r="169" spans="3:12" x14ac:dyDescent="0.25">
      <c r="C169" s="8" t="s">
        <v>106</v>
      </c>
      <c r="D169" s="3"/>
      <c r="E169" s="3"/>
      <c r="F169" s="3"/>
      <c r="H169" s="313">
        <f>G167+0.1</f>
        <v>0.94437758252083304</v>
      </c>
      <c r="I169" s="313">
        <f>H169</f>
        <v>0.94437758252083304</v>
      </c>
      <c r="J169" s="313">
        <f t="shared" si="134"/>
        <v>0.94437758252083304</v>
      </c>
      <c r="K169" s="313">
        <f t="shared" si="134"/>
        <v>0.94437758252083304</v>
      </c>
      <c r="L169" s="313">
        <f t="shared" si="134"/>
        <v>0.94437758252083304</v>
      </c>
    </row>
    <row r="170" spans="3:12" x14ac:dyDescent="0.25">
      <c r="C170" s="8" t="s">
        <v>107</v>
      </c>
      <c r="D170" s="3"/>
      <c r="E170" s="3"/>
      <c r="F170" s="3"/>
      <c r="H170" s="313">
        <f>G167-0.05</f>
        <v>0.79437758252083301</v>
      </c>
      <c r="I170" s="313">
        <f>H170</f>
        <v>0.79437758252083301</v>
      </c>
      <c r="J170" s="313">
        <f t="shared" si="134"/>
        <v>0.79437758252083301</v>
      </c>
      <c r="K170" s="313">
        <f t="shared" si="134"/>
        <v>0.79437758252083301</v>
      </c>
      <c r="L170" s="313">
        <f t="shared" si="134"/>
        <v>0.79437758252083301</v>
      </c>
    </row>
  </sheetData>
  <mergeCells count="2">
    <mergeCell ref="H7:L7"/>
    <mergeCell ref="D7:G7"/>
  </mergeCells>
  <pageMargins left="0.7" right="0.7" top="0.75" bottom="0.75" header="0.3" footer="0.3"/>
  <pageSetup scale="55" orientation="portrait" verticalDpi="0" r:id="rId1"/>
  <rowBreaks count="1" manualBreakCount="1">
    <brk id="6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5010-E3CB-4E7F-ACAB-46B7C6E301B3}">
  <dimension ref="A1"/>
  <sheetViews>
    <sheetView showGridLines="0" view="pageBreakPreview" zoomScale="60" zoomScaleNormal="100" workbookViewId="0">
      <selection activeCell="E39" sqref="E39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89BA-AD58-4103-AF09-5235C1E811FC}">
  <dimension ref="C3:O36"/>
  <sheetViews>
    <sheetView showGridLines="0" zoomScale="79" zoomScaleNormal="79" zoomScaleSheetLayoutView="83" workbookViewId="0">
      <selection activeCell="C40" sqref="C40"/>
    </sheetView>
  </sheetViews>
  <sheetFormatPr defaultRowHeight="15" x14ac:dyDescent="0.25"/>
  <cols>
    <col min="2" max="2" width="4.28515625" customWidth="1"/>
    <col min="3" max="3" width="55" customWidth="1"/>
    <col min="4" max="6" width="13" bestFit="1" customWidth="1"/>
    <col min="7" max="8" width="13.5703125" bestFit="1" customWidth="1"/>
  </cols>
  <sheetData>
    <row r="3" spans="3:13" ht="15.75" thickBot="1" x14ac:dyDescent="0.3">
      <c r="C3" s="3"/>
      <c r="D3" s="332" t="s">
        <v>7</v>
      </c>
      <c r="E3" s="332"/>
      <c r="F3" s="332"/>
      <c r="G3" s="332"/>
      <c r="H3" s="332"/>
    </row>
    <row r="4" spans="3:13" x14ac:dyDescent="0.25">
      <c r="C4" s="3"/>
      <c r="D4" s="3"/>
      <c r="E4" s="3"/>
      <c r="F4" s="3"/>
      <c r="G4" s="3"/>
      <c r="H4" s="3"/>
    </row>
    <row r="5" spans="3:13" ht="15.75" x14ac:dyDescent="0.25">
      <c r="C5" s="93" t="s">
        <v>41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3:13" x14ac:dyDescent="0.25">
      <c r="C6" s="3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2</v>
      </c>
      <c r="J6" s="1" t="s">
        <v>3</v>
      </c>
      <c r="K6" s="1" t="s">
        <v>4</v>
      </c>
      <c r="L6" s="1" t="s">
        <v>5</v>
      </c>
      <c r="M6" s="1" t="s">
        <v>6</v>
      </c>
    </row>
    <row r="7" spans="3:13" x14ac:dyDescent="0.25">
      <c r="C7" s="3" t="s">
        <v>8</v>
      </c>
      <c r="D7" s="3"/>
      <c r="E7" s="3"/>
      <c r="F7" s="3"/>
      <c r="G7" s="3"/>
      <c r="H7" s="3"/>
    </row>
    <row r="8" spans="3:13" x14ac:dyDescent="0.25">
      <c r="C8" s="10" t="s">
        <v>151</v>
      </c>
      <c r="D8" s="5">
        <v>4537.1000000000004</v>
      </c>
      <c r="E8" s="5">
        <v>4682.3</v>
      </c>
      <c r="F8" s="5">
        <v>4321</v>
      </c>
      <c r="G8" s="5">
        <v>4412</v>
      </c>
      <c r="H8" s="5">
        <v>6530.5</v>
      </c>
    </row>
    <row r="9" spans="3:13" x14ac:dyDescent="0.25">
      <c r="C9" s="10" t="s">
        <v>149</v>
      </c>
      <c r="D9" s="5">
        <v>201.3</v>
      </c>
      <c r="E9" s="5">
        <v>188.8</v>
      </c>
      <c r="F9" s="5">
        <v>89.6</v>
      </c>
      <c r="G9" s="5">
        <v>89.4</v>
      </c>
      <c r="H9" s="5">
        <v>228.9</v>
      </c>
    </row>
    <row r="10" spans="3:13" x14ac:dyDescent="0.25">
      <c r="C10" s="10" t="s">
        <v>150</v>
      </c>
      <c r="D10" s="5">
        <v>61.6</v>
      </c>
      <c r="E10" s="5">
        <v>66.2</v>
      </c>
      <c r="F10" s="5">
        <v>83.004999999999995</v>
      </c>
      <c r="G10" s="5">
        <v>722.57399999999996</v>
      </c>
      <c r="H10" s="5">
        <v>254.07400000000001</v>
      </c>
    </row>
    <row r="11" spans="3:13" x14ac:dyDescent="0.25">
      <c r="C11" s="4" t="s">
        <v>9</v>
      </c>
      <c r="D11" s="5">
        <f>SUM(D8:D10)</f>
        <v>4800.0000000000009</v>
      </c>
      <c r="E11" s="5">
        <f>SUM(E8:E10)</f>
        <v>4937.3</v>
      </c>
      <c r="F11" s="5">
        <f>SUM(F8:F10)</f>
        <v>4493.6050000000005</v>
      </c>
      <c r="G11" s="5">
        <f>SUM(G8:G10)</f>
        <v>5223.9739999999993</v>
      </c>
      <c r="H11" s="5">
        <f>SUM(H8:H10)</f>
        <v>7013.4739999999993</v>
      </c>
      <c r="I11" s="76"/>
    </row>
    <row r="12" spans="3:13" x14ac:dyDescent="0.25">
      <c r="C12" s="4"/>
      <c r="D12" s="5"/>
      <c r="E12" s="5"/>
      <c r="F12" s="5"/>
      <c r="G12" s="5"/>
      <c r="H12" s="5"/>
      <c r="I12" s="76"/>
    </row>
    <row r="13" spans="3:13" x14ac:dyDescent="0.25">
      <c r="C13" s="3" t="s">
        <v>10</v>
      </c>
      <c r="D13" s="5"/>
      <c r="E13" s="5"/>
      <c r="F13" s="5"/>
      <c r="G13" s="5"/>
      <c r="H13" s="5"/>
    </row>
    <row r="14" spans="3:13" x14ac:dyDescent="0.25">
      <c r="C14" s="10" t="s">
        <v>148</v>
      </c>
      <c r="D14" s="5">
        <v>1679.1</v>
      </c>
      <c r="E14" s="5">
        <v>1676.1</v>
      </c>
      <c r="F14" s="5">
        <v>1645.4</v>
      </c>
      <c r="G14" s="5">
        <v>1737.9</v>
      </c>
      <c r="H14" s="5">
        <v>2389.8000000000002</v>
      </c>
    </row>
    <row r="15" spans="3:13" x14ac:dyDescent="0.25">
      <c r="C15" s="10" t="s">
        <v>134</v>
      </c>
      <c r="D15" s="123" t="s">
        <v>152</v>
      </c>
      <c r="E15" s="123" t="s">
        <v>152</v>
      </c>
      <c r="F15" s="123" t="s">
        <v>152</v>
      </c>
      <c r="G15" s="123" t="s">
        <v>152</v>
      </c>
      <c r="H15" s="5">
        <v>2665.7</v>
      </c>
    </row>
    <row r="16" spans="3:13" x14ac:dyDescent="0.25">
      <c r="C16" s="10" t="s">
        <v>135</v>
      </c>
      <c r="D16" s="5">
        <v>44.2</v>
      </c>
      <c r="E16" s="5">
        <v>70.099999999999994</v>
      </c>
      <c r="F16" s="5">
        <v>1087</v>
      </c>
      <c r="G16" s="5">
        <v>128.4</v>
      </c>
      <c r="H16" s="5">
        <v>96.590999999999994</v>
      </c>
    </row>
    <row r="17" spans="3:15" x14ac:dyDescent="0.25">
      <c r="C17" s="10" t="s">
        <v>136</v>
      </c>
      <c r="D17" s="5">
        <v>1174.0999999999999</v>
      </c>
      <c r="E17" s="5">
        <v>1295</v>
      </c>
      <c r="F17" s="5">
        <v>1248.2</v>
      </c>
      <c r="G17" s="5">
        <v>1230.5</v>
      </c>
      <c r="H17" s="5">
        <v>1591.9</v>
      </c>
    </row>
    <row r="18" spans="3:15" x14ac:dyDescent="0.25">
      <c r="C18" s="10" t="s">
        <v>137</v>
      </c>
      <c r="D18" s="123" t="s">
        <v>152</v>
      </c>
      <c r="E18" s="123" t="s">
        <v>152</v>
      </c>
      <c r="F18" s="5">
        <v>118.5</v>
      </c>
      <c r="G18" s="5">
        <v>9.6999999999999993</v>
      </c>
      <c r="H18" s="5">
        <v>-2</v>
      </c>
    </row>
    <row r="19" spans="3:15" x14ac:dyDescent="0.25">
      <c r="C19" s="10" t="s">
        <v>138</v>
      </c>
      <c r="D19" s="5">
        <v>446.5</v>
      </c>
      <c r="E19" s="5">
        <v>288</v>
      </c>
      <c r="F19" s="5">
        <v>323.5</v>
      </c>
      <c r="G19" s="5">
        <v>319</v>
      </c>
      <c r="H19" s="5">
        <v>823.6</v>
      </c>
    </row>
    <row r="20" spans="3:15" x14ac:dyDescent="0.25">
      <c r="C20" s="10" t="s">
        <v>139</v>
      </c>
      <c r="D20" s="5">
        <v>305.2</v>
      </c>
      <c r="E20" s="5">
        <v>267.5</v>
      </c>
      <c r="F20" s="5">
        <v>242.2</v>
      </c>
      <c r="G20" s="5">
        <v>317.89999999999998</v>
      </c>
      <c r="H20" s="5">
        <v>399.5</v>
      </c>
    </row>
    <row r="21" spans="3:15" x14ac:dyDescent="0.25">
      <c r="C21" s="10" t="s">
        <v>140</v>
      </c>
      <c r="D21" s="5"/>
      <c r="E21" s="5"/>
      <c r="F21" s="5"/>
      <c r="G21" s="5">
        <v>335</v>
      </c>
      <c r="H21" s="5">
        <v>33.299999999999997</v>
      </c>
    </row>
    <row r="22" spans="3:15" x14ac:dyDescent="0.25">
      <c r="C22" s="121" t="s">
        <v>141</v>
      </c>
      <c r="D22" s="5">
        <f t="shared" ref="D22:G22" si="0">SUM(D14:D21)</f>
        <v>3649.0999999999995</v>
      </c>
      <c r="E22" s="5">
        <f t="shared" si="0"/>
        <v>3596.7</v>
      </c>
      <c r="F22" s="5">
        <f t="shared" si="0"/>
        <v>4664.8</v>
      </c>
      <c r="G22" s="5">
        <f t="shared" si="0"/>
        <v>4078.4</v>
      </c>
      <c r="H22" s="5">
        <f>SUM(H14:H21)</f>
        <v>7998.3910000000005</v>
      </c>
      <c r="O22" s="9"/>
    </row>
    <row r="23" spans="3:15" x14ac:dyDescent="0.25">
      <c r="C23" s="121" t="s">
        <v>133</v>
      </c>
      <c r="D23" s="5">
        <f t="shared" ref="D23:G23" si="1">D11-D22</f>
        <v>1150.9000000000015</v>
      </c>
      <c r="E23" s="5">
        <f t="shared" si="1"/>
        <v>1340.6000000000004</v>
      </c>
      <c r="F23" s="5">
        <f t="shared" si="1"/>
        <v>-171.19499999999971</v>
      </c>
      <c r="G23" s="5">
        <f t="shared" si="1"/>
        <v>1145.5739999999992</v>
      </c>
      <c r="H23" s="5">
        <f>H11-H22</f>
        <v>-984.91700000000128</v>
      </c>
      <c r="O23" s="9"/>
    </row>
    <row r="24" spans="3:15" x14ac:dyDescent="0.25">
      <c r="C24" s="10"/>
      <c r="D24" s="5"/>
      <c r="E24" s="5"/>
      <c r="F24" s="5"/>
      <c r="G24" s="5"/>
      <c r="H24" s="5"/>
    </row>
    <row r="25" spans="3:15" x14ac:dyDescent="0.25">
      <c r="C25" s="10" t="s">
        <v>142</v>
      </c>
      <c r="D25" s="123"/>
      <c r="E25" s="123"/>
      <c r="F25" s="5">
        <v>-143.5</v>
      </c>
      <c r="G25" s="5">
        <v>2.2999999999999998</v>
      </c>
      <c r="H25" s="5">
        <v>-17.7</v>
      </c>
    </row>
    <row r="26" spans="3:15" x14ac:dyDescent="0.25">
      <c r="C26" s="121" t="s">
        <v>143</v>
      </c>
      <c r="D26" s="5">
        <f t="shared" ref="D26:G26" si="2">D23+D25</f>
        <v>1150.9000000000015</v>
      </c>
      <c r="E26" s="5">
        <f t="shared" si="2"/>
        <v>1340.6000000000004</v>
      </c>
      <c r="F26" s="5">
        <f t="shared" si="2"/>
        <v>-314.69499999999971</v>
      </c>
      <c r="G26" s="5">
        <f t="shared" si="2"/>
        <v>1147.8739999999991</v>
      </c>
      <c r="H26" s="5">
        <f>H23+H25</f>
        <v>-1002.6170000000013</v>
      </c>
    </row>
    <row r="27" spans="3:15" x14ac:dyDescent="0.25">
      <c r="C27" s="121"/>
      <c r="D27" s="5"/>
      <c r="E27" s="5"/>
      <c r="F27" s="5"/>
      <c r="G27" s="5"/>
      <c r="H27" s="5"/>
    </row>
    <row r="28" spans="3:15" x14ac:dyDescent="0.25">
      <c r="C28" s="10" t="s">
        <v>144</v>
      </c>
      <c r="D28" s="5">
        <v>-144.1</v>
      </c>
      <c r="E28" s="5">
        <v>-167.7</v>
      </c>
      <c r="F28" s="5">
        <v>17.2</v>
      </c>
      <c r="G28" s="5">
        <v>-162.5</v>
      </c>
      <c r="H28" s="5">
        <v>164.1</v>
      </c>
    </row>
    <row r="29" spans="3:15" x14ac:dyDescent="0.25">
      <c r="C29" s="10" t="s">
        <v>145</v>
      </c>
      <c r="D29" s="5">
        <v>10.6</v>
      </c>
      <c r="E29" s="5">
        <v>-6.5</v>
      </c>
      <c r="F29" s="5">
        <v>2.5</v>
      </c>
      <c r="G29" s="5">
        <v>24.1</v>
      </c>
      <c r="H29" s="5">
        <v>117.2</v>
      </c>
    </row>
    <row r="30" spans="3:15" x14ac:dyDescent="0.25">
      <c r="C30" s="4" t="s">
        <v>11</v>
      </c>
      <c r="D30" s="5">
        <f t="shared" ref="D30:G30" si="3">SUM(D26:D29)</f>
        <v>1017.4000000000015</v>
      </c>
      <c r="E30" s="5">
        <f t="shared" si="3"/>
        <v>1166.4000000000003</v>
      </c>
      <c r="F30" s="5">
        <f t="shared" si="3"/>
        <v>-294.99499999999972</v>
      </c>
      <c r="G30" s="5">
        <f t="shared" si="3"/>
        <v>1009.4739999999991</v>
      </c>
      <c r="H30" s="5">
        <f>SUM(H26:H29)</f>
        <v>-721.31700000000126</v>
      </c>
    </row>
    <row r="31" spans="3:15" x14ac:dyDescent="0.25">
      <c r="C31" s="3"/>
      <c r="D31" s="5"/>
      <c r="E31" s="5"/>
      <c r="F31" s="5"/>
      <c r="G31" s="5"/>
      <c r="H31" s="5"/>
    </row>
    <row r="32" spans="3:15" x14ac:dyDescent="0.25">
      <c r="C32" s="3" t="s">
        <v>12</v>
      </c>
      <c r="D32" s="5"/>
      <c r="E32" s="5"/>
      <c r="F32" s="5"/>
      <c r="G32" s="5"/>
      <c r="H32" s="5"/>
    </row>
    <row r="33" spans="3:8" x14ac:dyDescent="0.25">
      <c r="C33" s="3" t="s">
        <v>13</v>
      </c>
      <c r="D33" s="5">
        <v>7</v>
      </c>
      <c r="E33" s="5">
        <v>8.51</v>
      </c>
      <c r="F33" s="5">
        <v>-2.34</v>
      </c>
      <c r="G33" s="5">
        <v>6.83</v>
      </c>
      <c r="H33" s="5">
        <v>3.02</v>
      </c>
    </row>
    <row r="34" spans="3:8" x14ac:dyDescent="0.25">
      <c r="C34" s="8" t="s">
        <v>14</v>
      </c>
      <c r="D34" s="5">
        <v>6.83</v>
      </c>
      <c r="E34" s="5">
        <v>8.43</v>
      </c>
      <c r="F34" s="5">
        <v>-2.34</v>
      </c>
      <c r="G34" s="5">
        <v>6.71</v>
      </c>
      <c r="H34" s="5">
        <v>3.02</v>
      </c>
    </row>
    <row r="35" spans="3:8" x14ac:dyDescent="0.25">
      <c r="C35" s="10" t="s">
        <v>146</v>
      </c>
      <c r="D35" s="122">
        <f>145162220/1000000</f>
        <v>145.16221999999999</v>
      </c>
      <c r="E35" s="122">
        <f>134570169/1000000</f>
        <v>134.57016899999999</v>
      </c>
      <c r="F35" s="122">
        <f>127743828/1000000</f>
        <v>127.74382799999999</v>
      </c>
      <c r="G35" s="122">
        <f>146421188/1000000</f>
        <v>146.421188</v>
      </c>
      <c r="H35" s="122">
        <f>240486849/1000000</f>
        <v>240.48684900000001</v>
      </c>
    </row>
    <row r="36" spans="3:8" x14ac:dyDescent="0.25">
      <c r="C36" s="10" t="s">
        <v>147</v>
      </c>
      <c r="D36" s="122">
        <f>148706266/1000000</f>
        <v>148.706266</v>
      </c>
      <c r="E36" s="122">
        <f>135898139/1000000</f>
        <v>135.89813899999999</v>
      </c>
      <c r="F36" s="122">
        <f>127743828/1000000</f>
        <v>127.74382799999999</v>
      </c>
      <c r="G36" s="122">
        <f>149005981/1000000</f>
        <v>149.00598099999999</v>
      </c>
      <c r="H36" s="122">
        <f>240486849/1000000</f>
        <v>240.48684900000001</v>
      </c>
    </row>
  </sheetData>
  <mergeCells count="1">
    <mergeCell ref="D3:H3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0007-C40A-45C8-93BB-C7422D8F464F}">
  <dimension ref="C3:AB92"/>
  <sheetViews>
    <sheetView showGridLines="0" zoomScale="75" zoomScaleNormal="100" zoomScaleSheetLayoutView="100" workbookViewId="0">
      <selection activeCell="B2" sqref="B2:N42"/>
    </sheetView>
  </sheetViews>
  <sheetFormatPr defaultRowHeight="15" x14ac:dyDescent="0.25"/>
  <cols>
    <col min="2" max="2" width="5.7109375" customWidth="1"/>
    <col min="3" max="3" width="41.7109375" customWidth="1"/>
    <col min="4" max="4" width="12.28515625" bestFit="1" customWidth="1"/>
    <col min="5" max="6" width="12.140625" customWidth="1"/>
    <col min="7" max="7" width="12.28515625" bestFit="1" customWidth="1"/>
    <col min="8" max="8" width="14.140625" customWidth="1"/>
    <col min="9" max="11" width="11.85546875" bestFit="1" customWidth="1"/>
    <col min="12" max="13" width="12.7109375" bestFit="1" customWidth="1"/>
    <col min="14" max="14" width="5.7109375" customWidth="1"/>
    <col min="16" max="16" width="36.85546875" bestFit="1" customWidth="1"/>
  </cols>
  <sheetData>
    <row r="3" spans="3:13" x14ac:dyDescent="0.25">
      <c r="C3" s="27" t="s">
        <v>216</v>
      </c>
      <c r="D3" s="17"/>
      <c r="E3" s="99"/>
      <c r="F3" s="99"/>
      <c r="G3" s="99"/>
      <c r="H3" s="99"/>
      <c r="I3" s="99"/>
      <c r="J3" s="99"/>
      <c r="K3" s="99"/>
      <c r="L3" s="99"/>
      <c r="M3" s="99"/>
    </row>
    <row r="4" spans="3:13" x14ac:dyDescent="0.25">
      <c r="C4" s="100" t="s">
        <v>128</v>
      </c>
      <c r="D4" s="17"/>
      <c r="E4" s="99"/>
      <c r="F4" s="99"/>
      <c r="G4" s="99"/>
      <c r="H4" s="99"/>
      <c r="I4" s="99"/>
      <c r="J4" s="99"/>
      <c r="K4" s="99"/>
      <c r="L4" s="99"/>
      <c r="M4" s="99"/>
    </row>
    <row r="5" spans="3:13" x14ac:dyDescent="0.25">
      <c r="C5" s="94" t="s">
        <v>109</v>
      </c>
      <c r="D5" s="112">
        <f>Cover!$Q$17</f>
        <v>1</v>
      </c>
      <c r="E5" s="98"/>
      <c r="F5" s="98"/>
      <c r="G5" s="98"/>
      <c r="H5" s="98"/>
      <c r="I5" s="98"/>
      <c r="J5" s="98"/>
      <c r="K5" s="98"/>
      <c r="L5" s="98"/>
      <c r="M5" s="98"/>
    </row>
    <row r="6" spans="3:13" x14ac:dyDescent="0.25">
      <c r="C6" s="3"/>
      <c r="D6" s="3"/>
      <c r="E6" s="3"/>
      <c r="F6" s="3"/>
      <c r="G6" s="3"/>
      <c r="H6" s="57"/>
    </row>
    <row r="7" spans="3:13" x14ac:dyDescent="0.25">
      <c r="C7" s="3"/>
      <c r="D7" s="333" t="s">
        <v>7</v>
      </c>
      <c r="E7" s="333"/>
      <c r="F7" s="333"/>
      <c r="G7" s="333"/>
      <c r="H7" s="333"/>
    </row>
    <row r="8" spans="3:13" x14ac:dyDescent="0.25">
      <c r="C8" s="3"/>
      <c r="D8" s="3"/>
      <c r="E8" s="3"/>
      <c r="F8" s="3"/>
      <c r="G8" s="3"/>
      <c r="H8" s="3"/>
      <c r="I8" s="9"/>
      <c r="J8" s="9"/>
      <c r="K8" s="9"/>
      <c r="L8" s="9"/>
    </row>
    <row r="9" spans="3:13" x14ac:dyDescent="0.25">
      <c r="C9" s="64" t="s">
        <v>41</v>
      </c>
      <c r="D9" s="337"/>
      <c r="E9" s="337"/>
      <c r="F9" s="337"/>
      <c r="G9" s="337"/>
      <c r="H9" s="337"/>
      <c r="I9" s="334" t="s">
        <v>40</v>
      </c>
      <c r="J9" s="334"/>
      <c r="K9" s="334"/>
      <c r="L9" s="334"/>
      <c r="M9" s="334"/>
    </row>
    <row r="10" spans="3:13" x14ac:dyDescent="0.25">
      <c r="C10" s="3"/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35</v>
      </c>
      <c r="J10" s="1" t="s">
        <v>36</v>
      </c>
      <c r="K10" s="1" t="s">
        <v>37</v>
      </c>
      <c r="L10" s="1" t="s">
        <v>38</v>
      </c>
      <c r="M10" s="1" t="s">
        <v>39</v>
      </c>
    </row>
    <row r="11" spans="3:13" x14ac:dyDescent="0.25">
      <c r="C11" s="3" t="s">
        <v>8</v>
      </c>
      <c r="D11" s="50"/>
      <c r="E11" s="50"/>
      <c r="F11" s="50"/>
      <c r="G11" s="50"/>
      <c r="H11" s="50"/>
      <c r="I11" s="26"/>
      <c r="J11" s="26"/>
      <c r="K11" s="26"/>
      <c r="L11" s="26"/>
      <c r="M11" s="26"/>
    </row>
    <row r="12" spans="3:13" x14ac:dyDescent="0.25">
      <c r="C12" s="10" t="s">
        <v>151</v>
      </c>
      <c r="D12" s="239">
        <v>4537.1000000000004</v>
      </c>
      <c r="E12" s="239">
        <v>4682.3</v>
      </c>
      <c r="F12" s="239">
        <v>4321</v>
      </c>
      <c r="G12" s="239">
        <v>4412</v>
      </c>
      <c r="H12" s="239">
        <v>6530.5</v>
      </c>
      <c r="I12" s="253">
        <f ca="1">AER_Assumptions!H9</f>
        <v>7011.1447999999991</v>
      </c>
      <c r="J12" s="253">
        <f ca="1">AER_Assumptions!I9</f>
        <v>7460.5591816799997</v>
      </c>
      <c r="K12" s="253">
        <f ca="1">AER_Assumptions!J9</f>
        <v>7833.5871407639997</v>
      </c>
      <c r="L12" s="253">
        <f ca="1">AER_Assumptions!K9</f>
        <v>8225.2664978022003</v>
      </c>
      <c r="M12" s="253">
        <f ca="1">AER_Assumptions!L9</f>
        <v>8636.5298226923114</v>
      </c>
    </row>
    <row r="13" spans="3:13" x14ac:dyDescent="0.25">
      <c r="C13" s="10" t="s">
        <v>149</v>
      </c>
      <c r="D13" s="239">
        <v>201.3</v>
      </c>
      <c r="E13" s="239">
        <v>188.8</v>
      </c>
      <c r="F13" s="239">
        <v>89.6</v>
      </c>
      <c r="G13" s="239">
        <v>89.4</v>
      </c>
      <c r="H13" s="239">
        <v>228.9</v>
      </c>
      <c r="I13" s="253">
        <f ca="1">AER_Assumptions!H15</f>
        <v>575.34014999999999</v>
      </c>
      <c r="J13" s="253">
        <f ca="1">AER_Assumptions!I15</f>
        <v>570.04702062000001</v>
      </c>
      <c r="K13" s="253">
        <f ca="1">AER_Assumptions!J15</f>
        <v>456.03761649600006</v>
      </c>
      <c r="L13" s="253">
        <f ca="1">AER_Assumptions!K15</f>
        <v>364.83009319680008</v>
      </c>
      <c r="M13" s="253">
        <f ca="1">AER_Assumptions!L15</f>
        <v>291.86407455744006</v>
      </c>
    </row>
    <row r="14" spans="3:13" x14ac:dyDescent="0.25">
      <c r="C14" s="10" t="s">
        <v>150</v>
      </c>
      <c r="D14" s="239">
        <v>61.6</v>
      </c>
      <c r="E14" s="239">
        <v>66.2</v>
      </c>
      <c r="F14" s="239">
        <v>83.004999999999995</v>
      </c>
      <c r="G14" s="239">
        <v>722.57399999999996</v>
      </c>
      <c r="H14" s="239">
        <v>254.07400000000001</v>
      </c>
      <c r="I14" s="254">
        <f ca="1">AER_Assumptions!H21</f>
        <v>489.47162759999998</v>
      </c>
      <c r="J14" s="254">
        <f ca="1">AER_Assumptions!I21</f>
        <v>486.68163932267998</v>
      </c>
      <c r="K14" s="254">
        <f ca="1">AER_Assumptions!J21</f>
        <v>486.68163932267998</v>
      </c>
      <c r="L14" s="254">
        <f ca="1">AER_Assumptions!K21</f>
        <v>486.68163932267998</v>
      </c>
      <c r="M14" s="254">
        <f ca="1">AER_Assumptions!L21</f>
        <v>486.68163932267998</v>
      </c>
    </row>
    <row r="15" spans="3:13" x14ac:dyDescent="0.25">
      <c r="C15" s="4" t="s">
        <v>9</v>
      </c>
      <c r="D15" s="239">
        <f t="shared" ref="D15:I15" si="0">SUM(D12:D14)</f>
        <v>4800.0000000000009</v>
      </c>
      <c r="E15" s="239">
        <f t="shared" si="0"/>
        <v>4937.3</v>
      </c>
      <c r="F15" s="239">
        <f t="shared" si="0"/>
        <v>4493.6050000000005</v>
      </c>
      <c r="G15" s="239">
        <f t="shared" si="0"/>
        <v>5223.9739999999993</v>
      </c>
      <c r="H15" s="239">
        <f t="shared" si="0"/>
        <v>7013.4739999999993</v>
      </c>
      <c r="I15" s="253">
        <f t="shared" ca="1" si="0"/>
        <v>8075.956577599999</v>
      </c>
      <c r="J15" s="253">
        <f t="shared" ref="J15:M15" ca="1" si="1">SUM(J12:J14)</f>
        <v>8517.2878416226795</v>
      </c>
      <c r="K15" s="253">
        <f t="shared" ca="1" si="1"/>
        <v>8776.3063965826805</v>
      </c>
      <c r="L15" s="253">
        <f t="shared" ca="1" si="1"/>
        <v>9076.7782303216809</v>
      </c>
      <c r="M15" s="253">
        <f t="shared" ca="1" si="1"/>
        <v>9415.0755365724308</v>
      </c>
    </row>
    <row r="16" spans="3:13" x14ac:dyDescent="0.25">
      <c r="C16" s="4"/>
      <c r="D16" s="256"/>
      <c r="E16" s="256"/>
      <c r="F16" s="256"/>
      <c r="G16" s="256"/>
      <c r="H16" s="256"/>
      <c r="I16" s="254"/>
      <c r="J16" s="254"/>
      <c r="K16" s="254"/>
      <c r="L16" s="254"/>
      <c r="M16" s="254"/>
    </row>
    <row r="17" spans="3:13" x14ac:dyDescent="0.25">
      <c r="C17" s="3" t="s">
        <v>10</v>
      </c>
      <c r="D17" s="239"/>
      <c r="E17" s="239"/>
      <c r="F17" s="239"/>
      <c r="G17" s="239"/>
      <c r="H17" s="239"/>
      <c r="I17" s="253"/>
      <c r="J17" s="253"/>
      <c r="K17" s="253"/>
      <c r="L17" s="253"/>
      <c r="M17" s="253"/>
    </row>
    <row r="18" spans="3:13" x14ac:dyDescent="0.25">
      <c r="C18" s="10" t="s">
        <v>148</v>
      </c>
      <c r="D18" s="239">
        <v>1679.1</v>
      </c>
      <c r="E18" s="239">
        <v>1676.1</v>
      </c>
      <c r="F18" s="239">
        <v>1645.4</v>
      </c>
      <c r="G18" s="239">
        <v>1737.9</v>
      </c>
      <c r="H18" s="239">
        <v>2389.8000000000002</v>
      </c>
      <c r="I18" s="254">
        <f ca="1">AER_Assumptions!H33</f>
        <v>2456.9533800000004</v>
      </c>
      <c r="J18" s="254">
        <f ca="1">AER_Assumptions!I33</f>
        <v>2635.3281953880005</v>
      </c>
      <c r="K18" s="254">
        <f ca="1">AER_Assumptions!J33</f>
        <v>2767.0946051574006</v>
      </c>
      <c r="L18" s="254">
        <f ca="1">AER_Assumptions!K33</f>
        <v>2905.4493354152705</v>
      </c>
      <c r="M18" s="254">
        <f ca="1">AER_Assumptions!L33</f>
        <v>3050.721802186034</v>
      </c>
    </row>
    <row r="19" spans="3:13" x14ac:dyDescent="0.25">
      <c r="C19" s="10" t="s">
        <v>134</v>
      </c>
      <c r="D19" s="258">
        <v>0</v>
      </c>
      <c r="E19" s="258">
        <v>0</v>
      </c>
      <c r="F19" s="258">
        <v>0</v>
      </c>
      <c r="G19" s="258">
        <v>0</v>
      </c>
      <c r="H19" s="239">
        <v>2665.7</v>
      </c>
      <c r="I19" s="253">
        <f ca="1">AER_Assumptions!H70</f>
        <v>-645</v>
      </c>
      <c r="J19" s="253">
        <f ca="1">AER_Assumptions!I70</f>
        <v>0</v>
      </c>
      <c r="K19" s="253">
        <f ca="1">AER_Assumptions!J70</f>
        <v>0</v>
      </c>
      <c r="L19" s="253">
        <f ca="1">AER_Assumptions!K70</f>
        <v>0</v>
      </c>
      <c r="M19" s="253">
        <f ca="1">AER_Assumptions!L70</f>
        <v>0</v>
      </c>
    </row>
    <row r="20" spans="3:13" x14ac:dyDescent="0.25">
      <c r="C20" s="10" t="s">
        <v>135</v>
      </c>
      <c r="D20" s="239">
        <v>44.2</v>
      </c>
      <c r="E20" s="239">
        <v>70.099999999999994</v>
      </c>
      <c r="F20" s="239">
        <v>1087</v>
      </c>
      <c r="G20" s="239">
        <v>128.4</v>
      </c>
      <c r="H20" s="239">
        <v>96.590999999999994</v>
      </c>
      <c r="I20" s="254">
        <f ca="1">AER_Assumptions!H39</f>
        <v>61.200057599999994</v>
      </c>
      <c r="J20" s="254">
        <f ca="1">AER_Assumptions!I39</f>
        <v>77.987233399679994</v>
      </c>
      <c r="K20" s="254">
        <f ca="1">AER_Assumptions!J39</f>
        <v>79.546978067673592</v>
      </c>
      <c r="L20" s="254">
        <f ca="1">AER_Assumptions!K39</f>
        <v>81.137917629027072</v>
      </c>
      <c r="M20" s="254">
        <f ca="1">AER_Assumptions!L39</f>
        <v>82.760675981607619</v>
      </c>
    </row>
    <row r="21" spans="3:13" x14ac:dyDescent="0.25">
      <c r="C21" s="10" t="s">
        <v>136</v>
      </c>
      <c r="D21" s="239">
        <v>1174.0999999999999</v>
      </c>
      <c r="E21" s="239">
        <v>1295</v>
      </c>
      <c r="F21" s="239">
        <v>1248.2</v>
      </c>
      <c r="G21" s="239">
        <v>1230.5</v>
      </c>
      <c r="H21" s="239">
        <v>1591.9</v>
      </c>
      <c r="I21" s="253">
        <f ca="1">AER_Debt!D110</f>
        <v>1962.2343949999995</v>
      </c>
      <c r="J21" s="253">
        <f ca="1">AER_Debt!E110</f>
        <v>2156.0483749999994</v>
      </c>
      <c r="K21" s="253">
        <f ca="1">AER_Debt!F110</f>
        <v>2098.6190849999994</v>
      </c>
      <c r="L21" s="253">
        <f ca="1">AER_Debt!G110</f>
        <v>2031.8989249999995</v>
      </c>
      <c r="M21" s="253">
        <f ca="1">AER_Debt!H110</f>
        <v>2005.3360749999997</v>
      </c>
    </row>
    <row r="22" spans="3:13" x14ac:dyDescent="0.25">
      <c r="C22" s="10" t="s">
        <v>137</v>
      </c>
      <c r="D22" s="258">
        <v>0</v>
      </c>
      <c r="E22" s="258">
        <v>0</v>
      </c>
      <c r="F22" s="239">
        <v>118.5</v>
      </c>
      <c r="G22" s="239">
        <v>9.6999999999999993</v>
      </c>
      <c r="H22" s="239">
        <v>-2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</row>
    <row r="23" spans="3:13" x14ac:dyDescent="0.25">
      <c r="C23" s="10" t="s">
        <v>138</v>
      </c>
      <c r="D23" s="239">
        <v>446.5</v>
      </c>
      <c r="E23" s="239">
        <v>288</v>
      </c>
      <c r="F23" s="239">
        <v>323.5</v>
      </c>
      <c r="G23" s="239">
        <v>319</v>
      </c>
      <c r="H23" s="239">
        <v>823.6</v>
      </c>
      <c r="I23" s="253">
        <f ca="1">AER_Assumptions!H45</f>
        <v>908.92495999999994</v>
      </c>
      <c r="J23" s="253">
        <f ca="1">AER_Assumptions!I45</f>
        <v>939.64662364799995</v>
      </c>
      <c r="K23" s="253">
        <f ca="1">AER_Assumptions!J45</f>
        <v>967.83602235744002</v>
      </c>
      <c r="L23" s="253">
        <f ca="1">AER_Assumptions!K45</f>
        <v>996.87110302816325</v>
      </c>
      <c r="M23" s="253">
        <f ca="1">AER_Assumptions!L45</f>
        <v>1026.7772361190082</v>
      </c>
    </row>
    <row r="24" spans="3:13" x14ac:dyDescent="0.25">
      <c r="C24" s="10" t="s">
        <v>139</v>
      </c>
      <c r="D24" s="239">
        <v>305.2</v>
      </c>
      <c r="E24" s="239">
        <v>267.5</v>
      </c>
      <c r="F24" s="239">
        <v>242.2</v>
      </c>
      <c r="G24" s="239">
        <v>317.89999999999998</v>
      </c>
      <c r="H24" s="239">
        <v>399.5</v>
      </c>
      <c r="I24" s="257">
        <f ca="1">AER_Assumptions!H51</f>
        <v>471.44994999999994</v>
      </c>
      <c r="J24" s="257">
        <f ca="1">AER_Assumptions!I51</f>
        <v>494.12669259499995</v>
      </c>
      <c r="K24" s="257">
        <f ca="1">AER_Assumptions!J51</f>
        <v>518.83302722475003</v>
      </c>
      <c r="L24" s="257">
        <f ca="1">AER_Assumptions!K51</f>
        <v>544.77467858598754</v>
      </c>
      <c r="M24" s="257">
        <f ca="1">AER_Assumptions!L51</f>
        <v>572.01341251528697</v>
      </c>
    </row>
    <row r="25" spans="3:13" x14ac:dyDescent="0.25">
      <c r="C25" s="10" t="s">
        <v>140</v>
      </c>
      <c r="D25" s="239">
        <v>0</v>
      </c>
      <c r="E25" s="239">
        <v>0</v>
      </c>
      <c r="F25" s="239">
        <v>0</v>
      </c>
      <c r="G25" s="239">
        <v>335</v>
      </c>
      <c r="H25" s="239">
        <v>33.299999999999997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</row>
    <row r="26" spans="3:13" x14ac:dyDescent="0.25">
      <c r="C26" s="121" t="s">
        <v>141</v>
      </c>
      <c r="D26" s="239">
        <f t="shared" ref="D26:G26" si="2">SUM(D18:D25)</f>
        <v>3649.0999999999995</v>
      </c>
      <c r="E26" s="239">
        <f t="shared" si="2"/>
        <v>3596.7</v>
      </c>
      <c r="F26" s="239">
        <f t="shared" si="2"/>
        <v>4664.8</v>
      </c>
      <c r="G26" s="239">
        <f t="shared" si="2"/>
        <v>4078.4</v>
      </c>
      <c r="H26" s="239">
        <f>SUM(H18:H25)</f>
        <v>7998.3910000000005</v>
      </c>
      <c r="I26" s="254">
        <f ca="1">SUM(I18:I25)</f>
        <v>5215.7627425999999</v>
      </c>
      <c r="J26" s="254">
        <f t="shared" ref="J26:M26" ca="1" si="3">SUM(J18:J25)</f>
        <v>6303.1371200306803</v>
      </c>
      <c r="K26" s="254">
        <f t="shared" ca="1" si="3"/>
        <v>6431.9297178072638</v>
      </c>
      <c r="L26" s="254">
        <f t="shared" ca="1" si="3"/>
        <v>6560.1319596584472</v>
      </c>
      <c r="M26" s="254">
        <f t="shared" ca="1" si="3"/>
        <v>6737.6092018019363</v>
      </c>
    </row>
    <row r="27" spans="3:13" x14ac:dyDescent="0.25">
      <c r="C27" s="121" t="s">
        <v>133</v>
      </c>
      <c r="D27" s="239">
        <f t="shared" ref="D27:G27" si="4">D15-D26</f>
        <v>1150.9000000000015</v>
      </c>
      <c r="E27" s="239">
        <f t="shared" si="4"/>
        <v>1340.6000000000004</v>
      </c>
      <c r="F27" s="239">
        <f t="shared" si="4"/>
        <v>-171.19499999999971</v>
      </c>
      <c r="G27" s="239">
        <f t="shared" si="4"/>
        <v>1145.5739999999992</v>
      </c>
      <c r="H27" s="239">
        <f>H15-H26</f>
        <v>-984.91700000000128</v>
      </c>
      <c r="I27" s="253">
        <f ca="1">I15-I26</f>
        <v>2860.1938349999991</v>
      </c>
      <c r="J27" s="253">
        <f t="shared" ref="J27:M27" ca="1" si="5">J15-J26</f>
        <v>2214.1507215919992</v>
      </c>
      <c r="K27" s="253">
        <f t="shared" ca="1" si="5"/>
        <v>2344.3766787754166</v>
      </c>
      <c r="L27" s="253">
        <f t="shared" ca="1" si="5"/>
        <v>2516.6462706632337</v>
      </c>
      <c r="M27" s="253">
        <f t="shared" ca="1" si="5"/>
        <v>2677.4663347704945</v>
      </c>
    </row>
    <row r="28" spans="3:13" x14ac:dyDescent="0.25">
      <c r="C28" s="10"/>
      <c r="D28" s="239"/>
      <c r="E28" s="256"/>
      <c r="F28" s="256"/>
      <c r="G28" s="256"/>
      <c r="H28" s="256"/>
      <c r="I28" s="254"/>
      <c r="J28" s="254"/>
      <c r="K28" s="254"/>
      <c r="L28" s="254"/>
      <c r="M28" s="254"/>
    </row>
    <row r="29" spans="3:13" x14ac:dyDescent="0.25">
      <c r="C29" s="10" t="s">
        <v>142</v>
      </c>
      <c r="D29" s="258">
        <v>0</v>
      </c>
      <c r="E29" s="258">
        <v>0</v>
      </c>
      <c r="F29" s="239">
        <v>-143.5</v>
      </c>
      <c r="G29" s="239">
        <v>2.2999999999999998</v>
      </c>
      <c r="H29" s="239">
        <v>-17.7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</row>
    <row r="30" spans="3:13" x14ac:dyDescent="0.25">
      <c r="C30" s="121" t="s">
        <v>143</v>
      </c>
      <c r="D30" s="239">
        <f t="shared" ref="D30:G30" si="6">D27+D29</f>
        <v>1150.9000000000015</v>
      </c>
      <c r="E30" s="239">
        <f t="shared" si="6"/>
        <v>1340.6000000000004</v>
      </c>
      <c r="F30" s="239">
        <f t="shared" si="6"/>
        <v>-314.69499999999971</v>
      </c>
      <c r="G30" s="239">
        <f t="shared" si="6"/>
        <v>1147.8739999999991</v>
      </c>
      <c r="H30" s="239">
        <f>H27+H29</f>
        <v>-1002.6170000000013</v>
      </c>
      <c r="I30" s="254">
        <f ca="1">I27+I29</f>
        <v>2860.1938349999991</v>
      </c>
      <c r="J30" s="254">
        <f t="shared" ref="J30:M30" ca="1" si="7">J27+J29</f>
        <v>2214.1507215919992</v>
      </c>
      <c r="K30" s="254">
        <f t="shared" ca="1" si="7"/>
        <v>2344.3766787754166</v>
      </c>
      <c r="L30" s="254">
        <f t="shared" ca="1" si="7"/>
        <v>2516.6462706632337</v>
      </c>
      <c r="M30" s="254">
        <f t="shared" ca="1" si="7"/>
        <v>2677.4663347704945</v>
      </c>
    </row>
    <row r="31" spans="3:13" x14ac:dyDescent="0.25">
      <c r="C31" s="121"/>
      <c r="D31" s="239"/>
      <c r="E31" s="239"/>
      <c r="F31" s="239"/>
      <c r="G31" s="239"/>
      <c r="H31" s="239"/>
      <c r="I31" s="253"/>
      <c r="J31" s="253"/>
      <c r="K31" s="253"/>
      <c r="L31" s="253"/>
      <c r="M31" s="253"/>
    </row>
    <row r="32" spans="3:13" x14ac:dyDescent="0.25">
      <c r="C32" s="10" t="s">
        <v>144</v>
      </c>
      <c r="D32" s="239">
        <v>-144.1</v>
      </c>
      <c r="E32" s="239">
        <v>-167.7</v>
      </c>
      <c r="F32" s="239">
        <v>17.2</v>
      </c>
      <c r="G32" s="239">
        <v>-162.5</v>
      </c>
      <c r="H32" s="239">
        <v>164.1</v>
      </c>
      <c r="I32" s="253">
        <f ca="1">-AER_Assumptions!H76</f>
        <v>-403.28733073499984</v>
      </c>
      <c r="J32" s="253">
        <f ca="1">-AER_Assumptions!I76</f>
        <v>-287.8395938069599</v>
      </c>
      <c r="K32" s="253">
        <f ca="1">-AER_Assumptions!J76</f>
        <v>-304.76896824080416</v>
      </c>
      <c r="L32" s="253">
        <f ca="1">-AER_Assumptions!K76</f>
        <v>-327.16401518622041</v>
      </c>
      <c r="M32" s="253">
        <f ca="1">-AER_Assumptions!L76</f>
        <v>-348.0706235201643</v>
      </c>
    </row>
    <row r="33" spans="3:13" x14ac:dyDescent="0.25">
      <c r="C33" s="10" t="s">
        <v>145</v>
      </c>
      <c r="D33" s="239">
        <v>10.6</v>
      </c>
      <c r="E33" s="239">
        <v>-6.5</v>
      </c>
      <c r="F33" s="239">
        <v>2.5</v>
      </c>
      <c r="G33" s="239">
        <v>24.1</v>
      </c>
      <c r="H33" s="239">
        <v>117.2</v>
      </c>
      <c r="I33" s="253">
        <v>0</v>
      </c>
      <c r="J33" s="253">
        <v>0</v>
      </c>
      <c r="K33" s="253">
        <v>0</v>
      </c>
      <c r="L33" s="253">
        <v>0</v>
      </c>
      <c r="M33" s="253">
        <v>0</v>
      </c>
    </row>
    <row r="34" spans="3:13" x14ac:dyDescent="0.25">
      <c r="C34" s="4" t="s">
        <v>11</v>
      </c>
      <c r="D34" s="239">
        <f t="shared" ref="D34:G34" si="8">SUM(D30:D33)</f>
        <v>1017.4000000000015</v>
      </c>
      <c r="E34" s="239">
        <f t="shared" si="8"/>
        <v>1166.4000000000003</v>
      </c>
      <c r="F34" s="239">
        <f t="shared" si="8"/>
        <v>-294.99499999999972</v>
      </c>
      <c r="G34" s="239">
        <f t="shared" si="8"/>
        <v>1009.4739999999991</v>
      </c>
      <c r="H34" s="239">
        <f>SUM(H30:H33)</f>
        <v>-721.31700000000126</v>
      </c>
      <c r="I34" s="253">
        <f ca="1">I30-I32-I33</f>
        <v>3263.4811657349992</v>
      </c>
      <c r="J34" s="253">
        <f t="shared" ref="J34:M34" ca="1" si="9">J30-J32-J33</f>
        <v>2501.990315398959</v>
      </c>
      <c r="K34" s="253">
        <f t="shared" ca="1" si="9"/>
        <v>2649.1456470162207</v>
      </c>
      <c r="L34" s="253">
        <f t="shared" ca="1" si="9"/>
        <v>2843.810285849454</v>
      </c>
      <c r="M34" s="253">
        <f t="shared" ca="1" si="9"/>
        <v>3025.5369582906587</v>
      </c>
    </row>
    <row r="35" spans="3:13" x14ac:dyDescent="0.25">
      <c r="C35" s="3"/>
      <c r="D35" s="239"/>
      <c r="E35" s="239"/>
      <c r="F35" s="239"/>
      <c r="G35" s="259"/>
      <c r="H35" s="239"/>
      <c r="I35" s="154"/>
      <c r="J35" s="154"/>
      <c r="K35" s="154"/>
      <c r="L35" s="154"/>
      <c r="M35" s="154"/>
    </row>
    <row r="36" spans="3:13" x14ac:dyDescent="0.25">
      <c r="C36" s="4"/>
      <c r="D36" s="239"/>
      <c r="E36" s="239"/>
      <c r="F36" s="239"/>
      <c r="G36" s="239"/>
      <c r="H36" s="239"/>
      <c r="I36" s="154"/>
      <c r="J36" s="154"/>
      <c r="K36" s="154"/>
      <c r="L36" s="154"/>
      <c r="M36" s="154"/>
    </row>
    <row r="37" spans="3:13" x14ac:dyDescent="0.25">
      <c r="C37" s="3" t="s">
        <v>12</v>
      </c>
      <c r="D37" s="239"/>
      <c r="E37" s="239"/>
      <c r="F37" s="239"/>
      <c r="G37" s="239"/>
      <c r="H37" s="239"/>
      <c r="J37" s="154"/>
      <c r="K37" s="154"/>
      <c r="L37" s="154"/>
      <c r="M37" s="154"/>
    </row>
    <row r="38" spans="3:13" x14ac:dyDescent="0.25">
      <c r="C38" s="3" t="s">
        <v>13</v>
      </c>
      <c r="D38" s="239">
        <v>7</v>
      </c>
      <c r="E38" s="239">
        <v>8.51</v>
      </c>
      <c r="F38" s="239">
        <v>-2.34</v>
      </c>
      <c r="G38" s="239">
        <v>6.83</v>
      </c>
      <c r="H38" s="239">
        <v>-3.02</v>
      </c>
      <c r="I38" s="276">
        <f ca="1">($I$34+AER_Assumptions!$H$88)/I40</f>
        <v>14.935018913939288</v>
      </c>
      <c r="J38" s="276">
        <f ca="1">($I$34+AER_Assumptions!$H$88)/J40</f>
        <v>15.703294564531573</v>
      </c>
      <c r="K38" s="276">
        <f ca="1">($I$34+AER_Assumptions!$H$88)/K40</f>
        <v>16.465604317753897</v>
      </c>
      <c r="L38" s="276">
        <f ca="1">($I$34+AER_Assumptions!$H$88)/L40</f>
        <v>17.217854391816726</v>
      </c>
      <c r="M38" s="276">
        <f ca="1">($I$34+AER_Assumptions!$H$88)/M40</f>
        <v>17.956167753134036</v>
      </c>
    </row>
    <row r="39" spans="3:13" x14ac:dyDescent="0.25">
      <c r="C39" s="8" t="s">
        <v>14</v>
      </c>
      <c r="D39" s="239">
        <v>6.83</v>
      </c>
      <c r="E39" s="239">
        <v>8.43</v>
      </c>
      <c r="F39" s="239">
        <v>-2.34</v>
      </c>
      <c r="G39" s="239">
        <v>6.71</v>
      </c>
      <c r="H39" s="239">
        <v>-3.02</v>
      </c>
      <c r="I39" s="276">
        <f ca="1">($I$34+AER_Assumptions!$H$88)/I41</f>
        <v>14.935018913939288</v>
      </c>
      <c r="J39" s="276">
        <f ca="1">($I$34+AER_Assumptions!$H$88)/J41</f>
        <v>15.703294564531573</v>
      </c>
      <c r="K39" s="276">
        <f ca="1">($I$34+AER_Assumptions!$H$88)/K41</f>
        <v>16.465604317753897</v>
      </c>
      <c r="L39" s="276">
        <f ca="1">($I$34+AER_Assumptions!$H$88)/L41</f>
        <v>17.217854391816726</v>
      </c>
      <c r="M39" s="276">
        <f ca="1">($I$34+AER_Assumptions!$H$88)/M41</f>
        <v>17.956167753134036</v>
      </c>
    </row>
    <row r="40" spans="3:13" x14ac:dyDescent="0.25">
      <c r="C40" s="10" t="s">
        <v>146</v>
      </c>
      <c r="D40" s="260">
        <f>145162220/1000000</f>
        <v>145.16221999999999</v>
      </c>
      <c r="E40" s="260">
        <f>134570169/1000000</f>
        <v>134.57016899999999</v>
      </c>
      <c r="F40" s="260">
        <f>127743828/1000000</f>
        <v>127.74382799999999</v>
      </c>
      <c r="G40" s="260">
        <f>146421188/1000000</f>
        <v>146.421188</v>
      </c>
      <c r="H40" s="260">
        <f>240486849/1000000</f>
        <v>240.48684900000001</v>
      </c>
      <c r="I40" s="122">
        <f ca="1">H40-(AER_Assumptions!H64/Cover!$Q$15)</f>
        <v>219.05276057328322</v>
      </c>
      <c r="J40" s="122">
        <f ca="1">I40-(AER_Assumptions!I64/Cover!$Q$15)</f>
        <v>208.33571635992485</v>
      </c>
      <c r="K40" s="122">
        <f ca="1">J40-(AER_Assumptions!J64/Cover!$Q$15)</f>
        <v>198.69037656790229</v>
      </c>
      <c r="L40" s="122">
        <f ca="1">K40-(AER_Assumptions!K64/Cover!$Q$15)</f>
        <v>190.009570755082</v>
      </c>
      <c r="M40" s="122">
        <f ca="1">L40-(AER_Assumptions!L64/Cover!$Q$15)</f>
        <v>182.19684552354374</v>
      </c>
    </row>
    <row r="41" spans="3:13" x14ac:dyDescent="0.25">
      <c r="C41" s="10" t="s">
        <v>147</v>
      </c>
      <c r="D41" s="260">
        <f>148706266/1000000</f>
        <v>148.706266</v>
      </c>
      <c r="E41" s="260">
        <f>135898139/1000000</f>
        <v>135.89813899999999</v>
      </c>
      <c r="F41" s="260">
        <f>127743828/1000000</f>
        <v>127.74382799999999</v>
      </c>
      <c r="G41" s="260">
        <f>149005981/1000000</f>
        <v>149.00598099999999</v>
      </c>
      <c r="H41" s="260">
        <f>240486849/1000000</f>
        <v>240.48684900000001</v>
      </c>
      <c r="I41" s="122">
        <f ca="1">I40</f>
        <v>219.05276057328322</v>
      </c>
      <c r="J41" s="122">
        <f t="shared" ref="J41:M41" ca="1" si="10">J40</f>
        <v>208.33571635992485</v>
      </c>
      <c r="K41" s="122">
        <f t="shared" ca="1" si="10"/>
        <v>198.69037656790229</v>
      </c>
      <c r="L41" s="122">
        <f t="shared" ca="1" si="10"/>
        <v>190.009570755082</v>
      </c>
      <c r="M41" s="122">
        <f t="shared" ca="1" si="10"/>
        <v>182.19684552354374</v>
      </c>
    </row>
    <row r="42" spans="3:13" x14ac:dyDescent="0.25">
      <c r="C42" s="16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x14ac:dyDescent="0.25">
      <c r="C43" s="10"/>
      <c r="D43" s="50"/>
      <c r="E43" s="50"/>
      <c r="F43" s="50"/>
      <c r="G43" s="50"/>
      <c r="H43" s="50"/>
      <c r="I43" s="48"/>
      <c r="J43" s="48"/>
      <c r="K43" s="48"/>
      <c r="L43" s="48"/>
      <c r="M43" s="48"/>
    </row>
    <row r="44" spans="3:13" x14ac:dyDescent="0.25">
      <c r="C44" s="16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x14ac:dyDescent="0.25">
      <c r="C45" s="10"/>
      <c r="D45" s="50"/>
      <c r="E45" s="50"/>
      <c r="F45" s="50"/>
      <c r="G45" s="50"/>
      <c r="H45" s="50"/>
      <c r="I45" s="48"/>
      <c r="J45" s="48"/>
      <c r="K45" s="48"/>
      <c r="L45" s="48"/>
      <c r="M45" s="48"/>
    </row>
    <row r="46" spans="3:13" x14ac:dyDescent="0.25">
      <c r="C46" s="10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x14ac:dyDescent="0.25">
      <c r="C47" s="4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3:13" x14ac:dyDescent="0.25">
      <c r="C48" s="4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28" x14ac:dyDescent="0.25">
      <c r="C49" s="4"/>
      <c r="D49" s="138"/>
      <c r="E49" s="138"/>
      <c r="F49" s="138"/>
      <c r="G49" s="138"/>
      <c r="M49" s="138"/>
    </row>
    <row r="50" spans="3:28" x14ac:dyDescent="0.25">
      <c r="C50" s="4"/>
      <c r="D50" s="50"/>
      <c r="E50" s="50"/>
      <c r="F50" s="50"/>
      <c r="G50" s="50"/>
      <c r="H50" s="50"/>
      <c r="I50" s="5"/>
      <c r="J50" s="5"/>
      <c r="K50" s="5"/>
      <c r="L50" s="5"/>
      <c r="M50" s="5"/>
    </row>
    <row r="51" spans="3:28" x14ac:dyDescent="0.25">
      <c r="C51" s="10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28" x14ac:dyDescent="0.25">
      <c r="C52" s="4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6" spans="3:28" hidden="1" x14ac:dyDescent="0.25"/>
    <row r="57" spans="3:28" hidden="1" x14ac:dyDescent="0.25">
      <c r="C57" s="3"/>
      <c r="D57" s="336" t="s">
        <v>30</v>
      </c>
      <c r="E57" s="336"/>
      <c r="F57" s="336"/>
      <c r="G57" s="336"/>
      <c r="H57" s="336"/>
      <c r="I57" s="336"/>
    </row>
    <row r="58" spans="3:28" hidden="1" x14ac:dyDescent="0.25">
      <c r="C58" s="3"/>
      <c r="D58" s="3">
        <v>2017</v>
      </c>
      <c r="E58" s="3">
        <v>2018</v>
      </c>
      <c r="F58" s="3">
        <v>2019</v>
      </c>
      <c r="G58" s="3">
        <v>2020</v>
      </c>
      <c r="H58" s="3">
        <v>2021</v>
      </c>
      <c r="I58" s="3">
        <v>2022</v>
      </c>
      <c r="L58" t="s">
        <v>97</v>
      </c>
    </row>
    <row r="59" spans="3:28" hidden="1" x14ac:dyDescent="0.25">
      <c r="C59" s="3"/>
      <c r="D59" s="5" t="e">
        <f>#REF!-#REF!</f>
        <v>#REF!</v>
      </c>
      <c r="E59" s="5">
        <f t="shared" ref="E59:I59" si="11">D21-D15</f>
        <v>-3625.900000000001</v>
      </c>
      <c r="F59" s="5">
        <f t="shared" si="11"/>
        <v>-3642.3</v>
      </c>
      <c r="G59" s="5">
        <f t="shared" si="11"/>
        <v>-3245.4050000000007</v>
      </c>
      <c r="H59" s="5">
        <f t="shared" si="11"/>
        <v>-3993.4739999999993</v>
      </c>
      <c r="I59" s="5">
        <f t="shared" si="11"/>
        <v>-5421.5739999999987</v>
      </c>
      <c r="K59" t="s">
        <v>95</v>
      </c>
      <c r="L59" s="7">
        <f>H47/SUM(H47,H21)</f>
        <v>0</v>
      </c>
      <c r="Q59">
        <v>2020</v>
      </c>
      <c r="R59">
        <v>2021</v>
      </c>
      <c r="S59">
        <v>2022</v>
      </c>
    </row>
    <row r="60" spans="3:28" hidden="1" x14ac:dyDescent="0.25">
      <c r="D60" s="26" t="e">
        <f>#REF!</f>
        <v>#REF!</v>
      </c>
      <c r="E60" s="26">
        <f t="shared" ref="E60:I60" si="12">D15</f>
        <v>4800.0000000000009</v>
      </c>
      <c r="F60" s="26">
        <f t="shared" si="12"/>
        <v>4937.3</v>
      </c>
      <c r="G60" s="26">
        <f t="shared" si="12"/>
        <v>4493.6050000000005</v>
      </c>
      <c r="H60" s="26">
        <f t="shared" si="12"/>
        <v>5223.9739999999993</v>
      </c>
      <c r="I60" s="26">
        <f t="shared" si="12"/>
        <v>7013.4739999999993</v>
      </c>
      <c r="K60" t="s">
        <v>96</v>
      </c>
      <c r="L60" s="9">
        <f>1-L59</f>
        <v>1</v>
      </c>
      <c r="P60" s="10" t="s">
        <v>31</v>
      </c>
      <c r="Q60" s="53">
        <v>4038</v>
      </c>
      <c r="R60" s="53">
        <v>3848</v>
      </c>
      <c r="S60" s="54">
        <v>8602</v>
      </c>
      <c r="T60" s="52">
        <f>(S60-R60)/R60</f>
        <v>1.2354469854469854</v>
      </c>
      <c r="W60">
        <v>2020</v>
      </c>
      <c r="X60">
        <v>2021</v>
      </c>
      <c r="Y60">
        <v>2022</v>
      </c>
      <c r="Z60" s="50"/>
      <c r="AA60" s="51"/>
      <c r="AB60" s="52"/>
    </row>
    <row r="61" spans="3:28" hidden="1" x14ac:dyDescent="0.25">
      <c r="D61" s="26" t="e">
        <f>#REF!</f>
        <v>#REF!</v>
      </c>
      <c r="E61" s="26">
        <f t="shared" ref="E61:I61" si="13">D47</f>
        <v>0</v>
      </c>
      <c r="F61" s="26">
        <f t="shared" si="13"/>
        <v>0</v>
      </c>
      <c r="G61" s="26">
        <f t="shared" si="13"/>
        <v>0</v>
      </c>
      <c r="H61" s="26">
        <f t="shared" si="13"/>
        <v>0</v>
      </c>
      <c r="I61" s="26">
        <f t="shared" si="13"/>
        <v>0</v>
      </c>
      <c r="P61" s="10" t="s">
        <v>113</v>
      </c>
      <c r="Q61" s="53">
        <v>3441</v>
      </c>
      <c r="R61" s="53">
        <v>3299</v>
      </c>
      <c r="S61" s="54">
        <v>6579</v>
      </c>
      <c r="T61" s="52">
        <f>(S61-R61)/R61</f>
        <v>0.99424067899363444</v>
      </c>
      <c r="V61" t="s">
        <v>114</v>
      </c>
      <c r="W61" s="53">
        <v>16502</v>
      </c>
      <c r="X61" s="53">
        <v>16552</v>
      </c>
      <c r="Y61" s="53">
        <v>28705</v>
      </c>
      <c r="Z61" s="50"/>
      <c r="AA61" s="51"/>
      <c r="AB61" s="52"/>
    </row>
    <row r="62" spans="3:28" hidden="1" x14ac:dyDescent="0.25">
      <c r="D62" s="26" t="e">
        <f>SUM(#REF!,#REF!)</f>
        <v>#REF!</v>
      </c>
      <c r="E62" s="26">
        <f t="shared" ref="E62:I62" si="14">SUM(D47,D21)</f>
        <v>1174.0999999999999</v>
      </c>
      <c r="F62" s="26">
        <f t="shared" si="14"/>
        <v>1295</v>
      </c>
      <c r="G62" s="26">
        <f t="shared" si="14"/>
        <v>1248.2</v>
      </c>
      <c r="H62" s="26">
        <f t="shared" si="14"/>
        <v>1230.5</v>
      </c>
      <c r="I62" s="26">
        <f t="shared" si="14"/>
        <v>1591.9</v>
      </c>
      <c r="P62" s="10" t="s">
        <v>32</v>
      </c>
      <c r="Q62" s="53">
        <v>3402</v>
      </c>
      <c r="R62" s="53">
        <v>2701</v>
      </c>
      <c r="S62" s="54">
        <v>6410</v>
      </c>
      <c r="T62" s="52">
        <f>(S62-R62)/R62</f>
        <v>1.3731951129211404</v>
      </c>
      <c r="V62" t="s">
        <v>115</v>
      </c>
      <c r="W62" s="53">
        <v>2094</v>
      </c>
      <c r="X62" s="53">
        <v>5051</v>
      </c>
      <c r="Y62" s="53">
        <v>7541</v>
      </c>
      <c r="Z62" s="50"/>
      <c r="AA62" s="51"/>
      <c r="AB62" s="52"/>
    </row>
    <row r="63" spans="3:28" hidden="1" x14ac:dyDescent="0.25">
      <c r="D63" s="26"/>
      <c r="E63" s="26"/>
      <c r="F63" s="26"/>
      <c r="G63" s="26"/>
      <c r="H63" s="26"/>
      <c r="I63" s="26"/>
      <c r="P63" s="10" t="s">
        <v>33</v>
      </c>
      <c r="Q63" s="53">
        <v>4185</v>
      </c>
      <c r="R63" s="53">
        <v>5241</v>
      </c>
      <c r="S63" s="54">
        <v>5229</v>
      </c>
      <c r="X63" s="50"/>
      <c r="Y63" s="50"/>
      <c r="Z63" s="50"/>
      <c r="AA63" s="51"/>
    </row>
    <row r="64" spans="3:28" hidden="1" x14ac:dyDescent="0.25">
      <c r="E64" s="335" t="s">
        <v>30</v>
      </c>
      <c r="F64" s="335"/>
      <c r="G64" s="335"/>
      <c r="H64" s="335"/>
      <c r="I64" s="335"/>
      <c r="P64" s="10" t="s">
        <v>34</v>
      </c>
      <c r="Q64" s="53">
        <v>1436</v>
      </c>
      <c r="R64" s="53">
        <v>1463</v>
      </c>
      <c r="S64" s="54">
        <v>1885</v>
      </c>
      <c r="T64" s="52">
        <f>(S64-R64)/R64</f>
        <v>0.28844839371155162</v>
      </c>
      <c r="X64" s="50"/>
      <c r="Y64" s="50"/>
      <c r="Z64" s="50"/>
      <c r="AA64" s="51"/>
      <c r="AB64" s="52"/>
    </row>
    <row r="65" spans="4:27" hidden="1" x14ac:dyDescent="0.25">
      <c r="D65" s="2">
        <v>2017</v>
      </c>
      <c r="E65" s="2">
        <v>2018</v>
      </c>
      <c r="F65" s="2">
        <v>2019</v>
      </c>
      <c r="G65" s="2">
        <v>2020</v>
      </c>
      <c r="H65" s="2">
        <v>2021</v>
      </c>
      <c r="I65" s="2">
        <v>2022</v>
      </c>
      <c r="P65" s="16"/>
      <c r="Q65" s="5">
        <f>SUM(Q60:Q64)</f>
        <v>16502</v>
      </c>
      <c r="R65" s="5">
        <f>SUM(R60:R64)</f>
        <v>16552</v>
      </c>
      <c r="S65" s="5">
        <f>SUM(S60:S64)</f>
        <v>28705</v>
      </c>
      <c r="T65" s="5"/>
      <c r="U65" s="5"/>
      <c r="V65" s="48"/>
      <c r="W65" s="35"/>
      <c r="X65" s="35"/>
      <c r="Y65" s="35"/>
      <c r="Z65" s="35"/>
    </row>
    <row r="66" spans="4:27" hidden="1" x14ac:dyDescent="0.25">
      <c r="D66" s="9" t="e">
        <f>D59/D62</f>
        <v>#REF!</v>
      </c>
      <c r="E66" s="9">
        <f t="shared" ref="E66:I66" si="15">E59/E62</f>
        <v>-3.0882377991653192</v>
      </c>
      <c r="F66" s="9">
        <f t="shared" si="15"/>
        <v>-2.8125868725868726</v>
      </c>
      <c r="G66" s="9">
        <f t="shared" si="15"/>
        <v>-2.6000680980612088</v>
      </c>
      <c r="H66" s="9">
        <f t="shared" si="15"/>
        <v>-3.2454075579032908</v>
      </c>
      <c r="I66" s="9">
        <f t="shared" si="15"/>
        <v>-3.4057252339971096</v>
      </c>
    </row>
    <row r="67" spans="4:27" hidden="1" x14ac:dyDescent="0.25">
      <c r="D67" s="9" t="e">
        <f>D60/D62</f>
        <v>#REF!</v>
      </c>
      <c r="E67" s="9">
        <f t="shared" ref="E67:I67" si="16">E60/E62</f>
        <v>4.0882377991653192</v>
      </c>
      <c r="F67" s="9">
        <f t="shared" si="16"/>
        <v>3.8125868725868726</v>
      </c>
      <c r="G67" s="9">
        <f t="shared" si="16"/>
        <v>3.6000680980612083</v>
      </c>
      <c r="H67" s="9">
        <f t="shared" si="16"/>
        <v>4.2454075579032908</v>
      </c>
      <c r="I67" s="9">
        <f t="shared" si="16"/>
        <v>4.40572523399711</v>
      </c>
      <c r="P67" s="16"/>
      <c r="Q67" s="5"/>
      <c r="R67" s="5"/>
      <c r="S67" s="5"/>
      <c r="T67" s="5"/>
      <c r="U67" s="5"/>
      <c r="V67" s="48"/>
      <c r="W67" s="35"/>
      <c r="X67" s="35"/>
      <c r="Y67" s="35"/>
      <c r="Z67" s="35"/>
      <c r="AA67" s="52"/>
    </row>
    <row r="68" spans="4:27" hidden="1" x14ac:dyDescent="0.25">
      <c r="D68" s="9" t="e">
        <f>D61/D62</f>
        <v>#REF!</v>
      </c>
      <c r="E68" s="9">
        <f t="shared" ref="E68:I68" si="17">E61/E62</f>
        <v>0</v>
      </c>
      <c r="F68" s="9">
        <f t="shared" si="17"/>
        <v>0</v>
      </c>
      <c r="G68" s="9">
        <f t="shared" si="17"/>
        <v>0</v>
      </c>
      <c r="H68" s="9">
        <f t="shared" si="17"/>
        <v>0</v>
      </c>
      <c r="I68" s="9">
        <f t="shared" si="17"/>
        <v>0</v>
      </c>
    </row>
    <row r="69" spans="4:27" hidden="1" x14ac:dyDescent="0.25">
      <c r="D69" s="9"/>
      <c r="E69" s="9"/>
      <c r="F69" s="9"/>
      <c r="G69" s="9"/>
      <c r="H69" s="9"/>
      <c r="I69" s="9"/>
      <c r="P69" s="10"/>
      <c r="Q69" s="5"/>
      <c r="R69" s="5"/>
      <c r="S69" s="5"/>
      <c r="T69" s="5"/>
      <c r="U69" s="5"/>
      <c r="V69" s="48"/>
      <c r="W69" s="35"/>
      <c r="X69" s="35"/>
      <c r="Y69" s="35"/>
      <c r="Z69" s="35"/>
    </row>
    <row r="70" spans="4:27" hidden="1" x14ac:dyDescent="0.25">
      <c r="D70" s="9"/>
      <c r="E70" s="9"/>
      <c r="F70" s="9"/>
      <c r="G70" s="9"/>
      <c r="H70" s="9"/>
      <c r="I70" s="9"/>
    </row>
    <row r="71" spans="4:27" hidden="1" x14ac:dyDescent="0.25">
      <c r="D71" s="9"/>
      <c r="E71" s="9"/>
      <c r="F71" s="9"/>
      <c r="G71" s="9"/>
      <c r="H71" s="9"/>
      <c r="I71" s="9"/>
    </row>
    <row r="72" spans="4:27" hidden="1" x14ac:dyDescent="0.25"/>
    <row r="73" spans="4:27" hidden="1" x14ac:dyDescent="0.25"/>
    <row r="74" spans="4:27" hidden="1" x14ac:dyDescent="0.25"/>
    <row r="75" spans="4:27" hidden="1" x14ac:dyDescent="0.25"/>
    <row r="76" spans="4:27" hidden="1" x14ac:dyDescent="0.25"/>
    <row r="77" spans="4:27" hidden="1" x14ac:dyDescent="0.25"/>
    <row r="78" spans="4:27" hidden="1" x14ac:dyDescent="0.25"/>
    <row r="79" spans="4:27" hidden="1" x14ac:dyDescent="0.25"/>
    <row r="80" spans="4:2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mergeCells count="5">
    <mergeCell ref="D7:H7"/>
    <mergeCell ref="I9:M9"/>
    <mergeCell ref="E64:I64"/>
    <mergeCell ref="D57:I57"/>
    <mergeCell ref="D9:H9"/>
  </mergeCells>
  <pageMargins left="0.7" right="0.7" top="0.75" bottom="0.75" header="0.3" footer="0.3"/>
  <pageSetup scale="44" orientation="portrait" verticalDpi="0" r:id="rId1"/>
  <colBreaks count="1" manualBreakCount="1">
    <brk id="16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24A2-22A9-45C0-B06F-F807184B8ED6}">
  <dimension ref="D2:N45"/>
  <sheetViews>
    <sheetView showGridLines="0" zoomScale="67" zoomScaleNormal="88" zoomScaleSheetLayoutView="90" workbookViewId="0">
      <selection activeCell="C1" sqref="C1:N46"/>
    </sheetView>
  </sheetViews>
  <sheetFormatPr defaultColWidth="9.140625" defaultRowHeight="15" x14ac:dyDescent="0.25"/>
  <cols>
    <col min="3" max="3" width="5.85546875" customWidth="1"/>
    <col min="4" max="4" width="45" bestFit="1" customWidth="1"/>
    <col min="5" max="13" width="13.85546875" style="3" customWidth="1"/>
    <col min="14" max="14" width="5.7109375" customWidth="1"/>
  </cols>
  <sheetData>
    <row r="2" spans="4:14" x14ac:dyDescent="0.25">
      <c r="D2" s="27" t="s">
        <v>216</v>
      </c>
      <c r="E2" s="17"/>
      <c r="F2" s="17"/>
      <c r="G2" s="17"/>
      <c r="H2" s="17"/>
      <c r="I2" s="17"/>
      <c r="J2" s="17"/>
      <c r="K2" s="17"/>
      <c r="L2" s="17"/>
      <c r="M2" s="17"/>
      <c r="N2" s="261"/>
    </row>
    <row r="3" spans="4:14" x14ac:dyDescent="0.25">
      <c r="D3" s="100" t="s">
        <v>128</v>
      </c>
      <c r="E3" s="17"/>
      <c r="F3" s="17"/>
      <c r="G3" s="17"/>
      <c r="H3" s="17"/>
      <c r="I3" s="17"/>
      <c r="J3" s="17"/>
      <c r="K3" s="17"/>
      <c r="L3" s="17"/>
      <c r="M3" s="17"/>
      <c r="N3" s="261"/>
    </row>
    <row r="4" spans="4:14" x14ac:dyDescent="0.25">
      <c r="D4" s="94" t="s">
        <v>109</v>
      </c>
      <c r="E4" s="112">
        <f>Cover!$Q$17</f>
        <v>1</v>
      </c>
      <c r="F4" s="316"/>
      <c r="G4" s="316"/>
      <c r="H4" s="316"/>
      <c r="I4" s="316"/>
      <c r="J4" s="316"/>
      <c r="K4" s="316"/>
      <c r="L4" s="316"/>
      <c r="M4" s="316"/>
      <c r="N4" s="141"/>
    </row>
    <row r="6" spans="4:14" ht="15.75" thickBot="1" x14ac:dyDescent="0.3">
      <c r="E6" s="332" t="s">
        <v>15</v>
      </c>
      <c r="F6" s="332"/>
      <c r="G6" s="332"/>
      <c r="H6" s="332"/>
    </row>
    <row r="7" spans="4:14" x14ac:dyDescent="0.25">
      <c r="D7" s="3"/>
    </row>
    <row r="8" spans="4:14" x14ac:dyDescent="0.25">
      <c r="D8" s="64" t="s">
        <v>41</v>
      </c>
      <c r="E8" s="108"/>
      <c r="F8" s="108"/>
      <c r="G8" s="108"/>
      <c r="H8" s="108"/>
      <c r="I8" s="334" t="s">
        <v>40</v>
      </c>
      <c r="J8" s="334"/>
      <c r="K8" s="334"/>
      <c r="L8" s="334"/>
      <c r="M8" s="334"/>
    </row>
    <row r="9" spans="4:14" x14ac:dyDescent="0.25">
      <c r="D9" s="3"/>
      <c r="E9" s="1" t="s">
        <v>3</v>
      </c>
      <c r="F9" s="1" t="s">
        <v>4</v>
      </c>
      <c r="G9" s="1" t="s">
        <v>5</v>
      </c>
      <c r="H9" s="1" t="s">
        <v>6</v>
      </c>
      <c r="I9" s="1" t="s">
        <v>35</v>
      </c>
      <c r="J9" s="1" t="s">
        <v>36</v>
      </c>
      <c r="K9" s="1" t="s">
        <v>37</v>
      </c>
      <c r="L9" s="1" t="s">
        <v>38</v>
      </c>
      <c r="M9" s="1" t="s">
        <v>39</v>
      </c>
    </row>
    <row r="10" spans="4:14" x14ac:dyDescent="0.25">
      <c r="D10" s="3" t="s">
        <v>163</v>
      </c>
    </row>
    <row r="11" spans="4:14" x14ac:dyDescent="0.25">
      <c r="D11" s="8" t="s">
        <v>162</v>
      </c>
      <c r="E11" s="50">
        <v>1121.4000000000001</v>
      </c>
      <c r="F11" s="50">
        <v>1248.8</v>
      </c>
      <c r="G11" s="50">
        <v>1728.7940000000001</v>
      </c>
      <c r="H11" s="50">
        <v>1597.1469999999999</v>
      </c>
      <c r="I11" s="5">
        <f ca="1">H11+AER_CF!I55</f>
        <v>1418.7455965526433</v>
      </c>
      <c r="J11" s="5">
        <f ca="1">I11+AER_CF!J55</f>
        <v>1382.3735108592773</v>
      </c>
      <c r="K11" s="5">
        <f ca="1">J11+AER_CF!K55</f>
        <v>4594.7256768423349</v>
      </c>
      <c r="L11" s="5">
        <f ca="1">K11+AER_CF!L55</f>
        <v>7787.6174791405383</v>
      </c>
      <c r="M11" s="5">
        <f ca="1">L11+AER_CF!M55</f>
        <v>12266.738554738491</v>
      </c>
    </row>
    <row r="12" spans="4:14" x14ac:dyDescent="0.25">
      <c r="D12" s="10" t="s">
        <v>153</v>
      </c>
      <c r="E12" s="50">
        <v>179</v>
      </c>
      <c r="F12" s="50">
        <v>246.5</v>
      </c>
      <c r="G12" s="50">
        <v>185.959</v>
      </c>
      <c r="H12" s="50">
        <v>159.62299999999999</v>
      </c>
      <c r="I12" s="154">
        <v>159.62299999999999</v>
      </c>
      <c r="J12" s="154">
        <v>159.62299999999999</v>
      </c>
      <c r="K12" s="154">
        <v>159.62299999999999</v>
      </c>
      <c r="L12" s="154">
        <v>159.62299999999999</v>
      </c>
      <c r="M12" s="154">
        <v>159.62299999999999</v>
      </c>
    </row>
    <row r="13" spans="4:14" x14ac:dyDescent="0.25">
      <c r="D13" s="10" t="s">
        <v>154</v>
      </c>
      <c r="E13" s="50">
        <v>47.9</v>
      </c>
      <c r="F13" s="50">
        <v>170.7</v>
      </c>
      <c r="G13" s="50">
        <v>181.45500000000001</v>
      </c>
      <c r="H13" s="50">
        <v>132.202</v>
      </c>
      <c r="I13" s="154">
        <f ca="1">AER_Assumptions!H94</f>
        <v>177.51122035728838</v>
      </c>
      <c r="J13" s="154">
        <f ca="1">AER_Assumptions!I94</f>
        <v>188.88968958219058</v>
      </c>
      <c r="K13" s="154">
        <f ca="1">AER_Assumptions!J94</f>
        <v>198.3341740613001</v>
      </c>
      <c r="L13" s="154">
        <f ca="1">AER_Assumptions!K94</f>
        <v>208.25088276436514</v>
      </c>
      <c r="M13" s="154">
        <f ca="1">AER_Assumptions!L94</f>
        <v>218.66342690258341</v>
      </c>
    </row>
    <row r="14" spans="4:14" x14ac:dyDescent="0.25">
      <c r="D14" s="10" t="s">
        <v>176</v>
      </c>
      <c r="E14" s="50">
        <v>35870.800000000003</v>
      </c>
      <c r="F14" s="50">
        <v>35156.449999999997</v>
      </c>
      <c r="G14" s="50">
        <v>57825.055999999997</v>
      </c>
      <c r="H14" s="50">
        <v>55220.809000000001</v>
      </c>
      <c r="I14" s="154">
        <f ca="1">H14+AER_Assumptions!H82-AER_Assumptions!H33-AER_Assumptions!H39</f>
        <v>57144.431680080001</v>
      </c>
      <c r="J14" s="154">
        <f ca="1">I14+AER_Assumptions!I82-AER_Assumptions!I33-AER_Assumptions!I39</f>
        <v>59115.624564184793</v>
      </c>
      <c r="K14" s="154">
        <f ca="1">J14+AER_Assumptions!J82-AER_Assumptions!J33-AER_Assumptions!J39</f>
        <v>57585.42894044712</v>
      </c>
      <c r="L14" s="154">
        <f ca="1">K14+AER_Assumptions!K82-AER_Assumptions!K33-AER_Assumptions!K39</f>
        <v>55960.358421951074</v>
      </c>
      <c r="M14" s="154">
        <f ca="1">L14+AER_Assumptions!L82-AER_Assumptions!L33-AER_Assumptions!L39</f>
        <v>54239.137274269306</v>
      </c>
    </row>
    <row r="15" spans="4:14" x14ac:dyDescent="0.25">
      <c r="D15" s="10" t="s">
        <v>177</v>
      </c>
      <c r="E15" s="50">
        <v>1011.5</v>
      </c>
      <c r="F15" s="50">
        <v>878.45</v>
      </c>
      <c r="G15" s="50">
        <v>1929.22</v>
      </c>
      <c r="H15" s="50">
        <v>1356.0719999999999</v>
      </c>
      <c r="I15" s="154">
        <f>H15-AER_Assumptions!H124</f>
        <v>1029.4559999999999</v>
      </c>
      <c r="J15" s="154">
        <f>I15-AER_Assumptions!I124</f>
        <v>672.03099999999995</v>
      </c>
      <c r="K15" s="154">
        <f>J15-AER_Assumptions!J124</f>
        <v>451.95499999999993</v>
      </c>
      <c r="L15" s="154">
        <f>K15-AER_Assumptions!K124</f>
        <v>280.52899999999994</v>
      </c>
      <c r="M15" s="154">
        <f>L15-AER_Assumptions!L124</f>
        <v>150.37799999999993</v>
      </c>
    </row>
    <row r="16" spans="4:14" x14ac:dyDescent="0.25">
      <c r="D16" s="10" t="s">
        <v>155</v>
      </c>
      <c r="E16" s="50">
        <v>336.6</v>
      </c>
      <c r="F16" s="50"/>
      <c r="G16" s="50">
        <v>304.36200000000002</v>
      </c>
      <c r="H16" s="50">
        <v>292.80799999999999</v>
      </c>
      <c r="I16" s="154">
        <v>292.80799999999999</v>
      </c>
      <c r="J16" s="154">
        <v>292.80799999999999</v>
      </c>
      <c r="K16" s="154">
        <v>292.80799999999999</v>
      </c>
      <c r="L16" s="154">
        <v>292.80799999999999</v>
      </c>
      <c r="M16" s="154">
        <v>292.80799999999999</v>
      </c>
    </row>
    <row r="17" spans="4:13" x14ac:dyDescent="0.25">
      <c r="D17" s="10" t="s">
        <v>156</v>
      </c>
      <c r="E17" s="50">
        <v>2954.5</v>
      </c>
      <c r="F17" s="50">
        <v>2111.6999999999998</v>
      </c>
      <c r="G17" s="50">
        <v>4586.848</v>
      </c>
      <c r="H17" s="50">
        <v>3806.6019999999999</v>
      </c>
      <c r="I17" s="154">
        <f ca="1">H17+-AER_Assumptions!H112</f>
        <v>3841.8825569594533</v>
      </c>
      <c r="J17" s="154">
        <f ca="1">I17+-AER_Assumptions!I112</f>
        <v>3856.2913465708398</v>
      </c>
      <c r="K17" s="154">
        <f ca="1">J17+-AER_Assumptions!J112</f>
        <v>3862.1759820742927</v>
      </c>
      <c r="L17" s="154">
        <f ca="1">K17+-AER_Assumptions!K112</f>
        <v>3864.579302265819</v>
      </c>
      <c r="M17" s="154">
        <f ca="1">L17+-AER_Assumptions!L112</f>
        <v>3865.5608325474495</v>
      </c>
    </row>
    <row r="18" spans="4:13" x14ac:dyDescent="0.25">
      <c r="D18" s="10" t="s">
        <v>157</v>
      </c>
      <c r="E18" s="50">
        <v>809.6</v>
      </c>
      <c r="F18" s="50">
        <v>649.9</v>
      </c>
      <c r="G18" s="50">
        <v>4444.5200000000004</v>
      </c>
      <c r="H18" s="50">
        <v>3364.453</v>
      </c>
      <c r="I18" s="154">
        <f ca="1">H18-AER_Assumptions!H118</f>
        <v>3063.8381731696127</v>
      </c>
      <c r="J18" s="154">
        <f ca="1">I18-AER_Assumptions!I118</f>
        <v>2743.9539359393975</v>
      </c>
      <c r="K18" s="154">
        <f ca="1">J18-AER_Assumptions!J118</f>
        <v>2408.075486847672</v>
      </c>
      <c r="L18" s="154">
        <f ca="1">K18-AER_Assumptions!K118</f>
        <v>2055.4031153013602</v>
      </c>
      <c r="M18" s="154">
        <f ca="1">L18-AER_Assumptions!L118</f>
        <v>1685.0971251777326</v>
      </c>
    </row>
    <row r="19" spans="4:13" x14ac:dyDescent="0.25">
      <c r="D19" s="262" t="s">
        <v>158</v>
      </c>
      <c r="E19" s="50">
        <v>307.39999999999998</v>
      </c>
      <c r="F19" s="50">
        <v>224.6</v>
      </c>
      <c r="G19" s="50">
        <v>208.87899999999999</v>
      </c>
      <c r="H19" s="50">
        <v>185.21</v>
      </c>
      <c r="I19" s="154">
        <v>185.21</v>
      </c>
      <c r="J19" s="154">
        <v>185.21</v>
      </c>
      <c r="K19" s="154">
        <v>185.21</v>
      </c>
      <c r="L19" s="154">
        <v>185.21</v>
      </c>
      <c r="M19" s="154">
        <v>185.21</v>
      </c>
    </row>
    <row r="20" spans="4:13" x14ac:dyDescent="0.25">
      <c r="D20" s="262" t="s">
        <v>159</v>
      </c>
      <c r="E20" s="50">
        <v>95.1</v>
      </c>
      <c r="F20" s="50">
        <v>131.5</v>
      </c>
      <c r="G20" s="50">
        <v>121.571</v>
      </c>
      <c r="H20" s="50">
        <v>210.334</v>
      </c>
      <c r="I20" s="154">
        <v>210.334</v>
      </c>
      <c r="J20" s="154">
        <v>210.334</v>
      </c>
      <c r="K20" s="154">
        <v>210.334</v>
      </c>
      <c r="L20" s="154">
        <v>210.334</v>
      </c>
      <c r="M20" s="154">
        <v>210.334</v>
      </c>
    </row>
    <row r="21" spans="4:13" x14ac:dyDescent="0.25">
      <c r="D21" s="262" t="s">
        <v>178</v>
      </c>
      <c r="E21" s="50"/>
      <c r="F21" s="50"/>
      <c r="G21" s="50">
        <v>705.08699999999999</v>
      </c>
      <c r="H21" s="50">
        <v>811.21900000000005</v>
      </c>
      <c r="I21" s="154">
        <v>811.21900000000005</v>
      </c>
      <c r="J21" s="154">
        <v>811.21900000000005</v>
      </c>
      <c r="K21" s="154">
        <v>811.21900000000005</v>
      </c>
      <c r="L21" s="154">
        <v>811.21900000000005</v>
      </c>
      <c r="M21" s="154">
        <v>811.21900000000005</v>
      </c>
    </row>
    <row r="22" spans="4:13" x14ac:dyDescent="0.25">
      <c r="D22" s="10" t="s">
        <v>160</v>
      </c>
      <c r="E22" s="50">
        <v>1015.5</v>
      </c>
      <c r="F22" s="50">
        <v>1229.4000000000001</v>
      </c>
      <c r="G22" s="50">
        <v>2348.0169999999998</v>
      </c>
      <c r="H22" s="50">
        <v>2590.4389999999999</v>
      </c>
      <c r="I22" s="154">
        <v>2590.4389999999999</v>
      </c>
      <c r="J22" s="154">
        <v>2590.4389999999999</v>
      </c>
      <c r="K22" s="154">
        <v>2590.4389999999999</v>
      </c>
      <c r="L22" s="154">
        <v>2590.4389999999999</v>
      </c>
      <c r="M22" s="154">
        <v>2590.4389999999999</v>
      </c>
    </row>
    <row r="23" spans="4:13" x14ac:dyDescent="0.25">
      <c r="D23" s="4" t="s">
        <v>161</v>
      </c>
      <c r="E23" s="146">
        <v>43749.2</v>
      </c>
      <c r="F23" s="146">
        <v>42048.038999999997</v>
      </c>
      <c r="G23" s="146">
        <v>74569.767999999996</v>
      </c>
      <c r="H23" s="146">
        <v>69726.918000000005</v>
      </c>
      <c r="I23" s="155">
        <f ca="1">SUM(I11:I22)</f>
        <v>70925.498227118995</v>
      </c>
      <c r="J23" s="155">
        <f t="shared" ref="J23:M23" ca="1" si="0">SUM(J11:J22)</f>
        <v>72208.797047136497</v>
      </c>
      <c r="K23" s="155">
        <f t="shared" ca="1" si="0"/>
        <v>73350.328260272712</v>
      </c>
      <c r="L23" s="155">
        <f t="shared" ca="1" si="0"/>
        <v>74406.371201423171</v>
      </c>
      <c r="M23" s="155">
        <f t="shared" ca="1" si="0"/>
        <v>76675.208213635575</v>
      </c>
    </row>
    <row r="24" spans="4:13" x14ac:dyDescent="0.25">
      <c r="D24" s="3"/>
      <c r="E24" s="50"/>
      <c r="F24" s="50"/>
      <c r="G24" s="50"/>
      <c r="H24" s="50"/>
      <c r="I24" s="154"/>
      <c r="J24" s="154"/>
      <c r="K24" s="154"/>
      <c r="L24" s="154"/>
      <c r="M24" s="154"/>
    </row>
    <row r="25" spans="4:13" x14ac:dyDescent="0.25">
      <c r="D25" s="3" t="s">
        <v>164</v>
      </c>
      <c r="E25" s="50"/>
      <c r="F25" s="50"/>
      <c r="G25" s="50"/>
      <c r="H25" s="50"/>
      <c r="I25" s="154"/>
      <c r="J25" s="154"/>
      <c r="K25" s="154"/>
      <c r="L25" s="154"/>
      <c r="M25" s="154"/>
    </row>
    <row r="26" spans="4:13" x14ac:dyDescent="0.25">
      <c r="D26" s="8" t="s">
        <v>170</v>
      </c>
      <c r="E26" s="50">
        <v>1032.5999999999999</v>
      </c>
      <c r="F26" s="50">
        <v>1109.3</v>
      </c>
      <c r="G26" s="50">
        <v>1958.096</v>
      </c>
      <c r="H26" s="50">
        <v>1494.953</v>
      </c>
      <c r="I26" s="154">
        <f ca="1">H26+AER_CF!I30+AER_Assumptions!H57</f>
        <v>1956.1002541598543</v>
      </c>
      <c r="J26" s="154">
        <f ca="1">I26+AER_CF!J30+AER_Assumptions!I57</f>
        <v>2206.5060731017438</v>
      </c>
      <c r="K26" s="154">
        <f ca="1">J26+AER_CF!K30+AER_Assumptions!J57</f>
        <v>2441.0232668952049</v>
      </c>
      <c r="L26" s="154">
        <f ca="1">K26+AER_CF!L30+AER_Assumptions!K57</f>
        <v>2685.1042581736951</v>
      </c>
      <c r="M26" s="154">
        <f ca="1">L26+AER_CF!M30+AER_Assumptions!L57</f>
        <v>2939.583589583247</v>
      </c>
    </row>
    <row r="27" spans="4:13" x14ac:dyDescent="0.25">
      <c r="D27" s="10" t="s">
        <v>165</v>
      </c>
      <c r="E27" s="50">
        <v>2190.1999999999998</v>
      </c>
      <c r="F27" s="50">
        <v>1750.4</v>
      </c>
      <c r="G27" s="50">
        <v>2900.6509999999998</v>
      </c>
      <c r="H27" s="50">
        <v>2503.2020000000002</v>
      </c>
      <c r="I27" s="154">
        <f ca="1">H27+AER_Assumptions!H130+AER_Assumptions!H154+AER_Assumptions!H160</f>
        <v>2641.9004515495089</v>
      </c>
      <c r="J27" s="154">
        <f ca="1">I27+AER_Assumptions!I130+AER_Assumptions!I154+AER_Assumptions!I160</f>
        <v>2789.3241517263073</v>
      </c>
      <c r="K27" s="154">
        <f ca="1">J27+AER_Assumptions!J130+AER_Assumptions!J154+AER_Assumptions!J160</f>
        <v>2940.6895004732532</v>
      </c>
      <c r="L27" s="154">
        <f ca="1">K27+AER_Assumptions!K130+AER_Assumptions!K154+AER_Assumptions!K160</f>
        <v>3095.9711303797944</v>
      </c>
      <c r="M27" s="154">
        <f ca="1">L27+AER_Assumptions!L130+AER_Assumptions!L154+AER_Assumptions!L160</f>
        <v>3255.1279769128087</v>
      </c>
    </row>
    <row r="28" spans="4:13" x14ac:dyDescent="0.25">
      <c r="D28" s="10" t="s">
        <v>166</v>
      </c>
      <c r="E28" s="50">
        <v>747.8</v>
      </c>
      <c r="F28" s="50">
        <v>600.29999999999995</v>
      </c>
      <c r="G28" s="50">
        <v>773.75300000000004</v>
      </c>
      <c r="H28" s="50">
        <v>806.65499999999997</v>
      </c>
      <c r="I28" s="154">
        <f ca="1">H28+AER_Assumptions!H142+AER_Assumptions!H148</f>
        <v>675.83941078287012</v>
      </c>
      <c r="J28" s="154">
        <f ca="1">I28+AER_Assumptions!I142+AER_Assumptions!I148</f>
        <v>536.63854229692231</v>
      </c>
      <c r="K28" s="154">
        <f ca="1">J28+AER_Assumptions!J142+AER_Assumptions!J148</f>
        <v>390.47763038667711</v>
      </c>
      <c r="L28" s="154">
        <f ca="1">K28+AER_Assumptions!K142+AER_Assumptions!K148</f>
        <v>237.00867288091956</v>
      </c>
      <c r="M28" s="154">
        <f ca="1">L28+AER_Assumptions!L142+AER_Assumptions!L148</f>
        <v>75.866267499874198</v>
      </c>
    </row>
    <row r="29" spans="4:13" x14ac:dyDescent="0.25">
      <c r="D29" s="10" t="s">
        <v>167</v>
      </c>
      <c r="E29" s="50">
        <v>29486.1</v>
      </c>
      <c r="F29" s="50">
        <v>28742.1</v>
      </c>
      <c r="G29" s="50">
        <v>50204.678</v>
      </c>
      <c r="H29" s="50">
        <v>46532.959999999999</v>
      </c>
      <c r="I29" s="154">
        <f ca="1">AER_Debt!D80</f>
        <v>45916.770000000004</v>
      </c>
      <c r="J29" s="154">
        <f ca="1">AER_Debt!E80</f>
        <v>45082.39</v>
      </c>
      <c r="K29" s="154">
        <f ca="1">AER_Debt!F80</f>
        <v>43915.93</v>
      </c>
      <c r="L29" s="154">
        <f ca="1">AER_Debt!G80</f>
        <v>42407.53</v>
      </c>
      <c r="M29" s="154">
        <f ca="1">AER_Debt!H80</f>
        <v>41873.629999999997</v>
      </c>
    </row>
    <row r="30" spans="4:13" x14ac:dyDescent="0.25">
      <c r="D30" s="10" t="s">
        <v>168</v>
      </c>
      <c r="E30" s="50">
        <v>910.3</v>
      </c>
      <c r="F30" s="50">
        <v>913.4</v>
      </c>
      <c r="G30" s="50">
        <v>2085.23</v>
      </c>
      <c r="H30" s="50">
        <v>2194.098</v>
      </c>
      <c r="I30" s="154">
        <f ca="1">H30+AER_Assumptions!H106</f>
        <v>2184.2244379693657</v>
      </c>
      <c r="J30" s="154">
        <f ca="1">I30+AER_Assumptions!I106</f>
        <v>2177.1773480467887</v>
      </c>
      <c r="K30" s="154">
        <f ca="1">J30+AER_Assumptions!J106</f>
        <v>2169.7157813582103</v>
      </c>
      <c r="L30" s="154">
        <f ca="1">K30+AER_Assumptions!K106</f>
        <v>2161.7059234927397</v>
      </c>
      <c r="M30" s="154">
        <f ca="1">L30+AER_Assumptions!L106</f>
        <v>2153.18421544378</v>
      </c>
    </row>
    <row r="31" spans="4:13" x14ac:dyDescent="0.25">
      <c r="D31" s="4" t="s">
        <v>169</v>
      </c>
      <c r="E31" s="146">
        <v>34367.038999999997</v>
      </c>
      <c r="F31" s="146">
        <v>33115.553</v>
      </c>
      <c r="G31" s="146">
        <v>57922.408000000003</v>
      </c>
      <c r="H31" s="146">
        <v>53531.868000000002</v>
      </c>
      <c r="I31" s="155">
        <f ca="1">SUM(I26:I30)</f>
        <v>53374.834554461602</v>
      </c>
      <c r="J31" s="155">
        <f t="shared" ref="J31:M31" ca="1" si="1">SUM(J26:J30)</f>
        <v>52792.036115171759</v>
      </c>
      <c r="K31" s="155">
        <f t="shared" ca="1" si="1"/>
        <v>51857.836179113343</v>
      </c>
      <c r="L31" s="155">
        <f t="shared" ca="1" si="1"/>
        <v>50587.31998492714</v>
      </c>
      <c r="M31" s="155">
        <f t="shared" ca="1" si="1"/>
        <v>50297.392049439703</v>
      </c>
    </row>
    <row r="32" spans="4:13" x14ac:dyDescent="0.25">
      <c r="D32" s="3"/>
      <c r="E32" s="50"/>
      <c r="F32" s="50"/>
      <c r="G32" s="50"/>
      <c r="H32" s="50"/>
      <c r="I32" s="154"/>
      <c r="J32" s="154"/>
      <c r="K32" s="154"/>
      <c r="L32" s="154"/>
      <c r="M32" s="154"/>
    </row>
    <row r="33" spans="4:13" x14ac:dyDescent="0.25">
      <c r="D33" s="3" t="s">
        <v>16</v>
      </c>
      <c r="E33" s="50"/>
      <c r="F33" s="50"/>
      <c r="G33" s="50"/>
      <c r="H33" s="50"/>
      <c r="I33" s="154"/>
      <c r="J33" s="154"/>
      <c r="K33" s="154"/>
      <c r="L33" s="154"/>
      <c r="M33" s="154"/>
    </row>
    <row r="34" spans="4:13" x14ac:dyDescent="0.25">
      <c r="D34" s="10" t="s">
        <v>171</v>
      </c>
      <c r="E34" s="50">
        <v>1.8</v>
      </c>
      <c r="F34" s="50">
        <v>1.7</v>
      </c>
      <c r="G34" s="50">
        <v>3.024</v>
      </c>
      <c r="H34" s="50">
        <v>3.024</v>
      </c>
      <c r="I34" s="154">
        <v>3.024</v>
      </c>
      <c r="J34" s="154">
        <v>3.024</v>
      </c>
      <c r="K34" s="154">
        <v>3.024</v>
      </c>
      <c r="L34" s="154">
        <v>3.024</v>
      </c>
      <c r="M34" s="154">
        <v>3.024</v>
      </c>
    </row>
    <row r="35" spans="4:13" x14ac:dyDescent="0.25">
      <c r="D35" s="10" t="s">
        <v>172</v>
      </c>
      <c r="E35" s="50">
        <v>2209.5</v>
      </c>
      <c r="F35" s="50">
        <v>2078.1</v>
      </c>
      <c r="G35" s="50">
        <v>8522.6939999999995</v>
      </c>
      <c r="H35" s="50">
        <v>8586.0339999999997</v>
      </c>
      <c r="I35" s="154">
        <v>8586.0339999999997</v>
      </c>
      <c r="J35" s="154">
        <v>8586.0339999999997</v>
      </c>
      <c r="K35" s="154">
        <v>8586.0339999999997</v>
      </c>
      <c r="L35" s="154">
        <v>8586.0339999999997</v>
      </c>
      <c r="M35" s="154">
        <v>8586.0339999999997</v>
      </c>
    </row>
    <row r="36" spans="4:13" x14ac:dyDescent="0.25">
      <c r="D36" s="10" t="s">
        <v>173</v>
      </c>
      <c r="E36" s="50">
        <v>-537.29999999999995</v>
      </c>
      <c r="F36" s="50">
        <v>-456</v>
      </c>
      <c r="G36" s="239">
        <v>-285.90100000000001</v>
      </c>
      <c r="H36" s="239">
        <v>-254.69900000000001</v>
      </c>
      <c r="I36" s="253">
        <f ca="1">H36-AER_Assumptions!H64</f>
        <v>-1509.4505365000002</v>
      </c>
      <c r="J36" s="253">
        <f ca="1">I36-AER_Assumptions!I64</f>
        <v>-2136.8263047500004</v>
      </c>
      <c r="K36" s="253">
        <f ca="1">J36-AER_Assumptions!J64</f>
        <v>-2701.4644961750005</v>
      </c>
      <c r="L36" s="253">
        <f ca="1">K36-AER_Assumptions!K64</f>
        <v>-3209.6388684575004</v>
      </c>
      <c r="M36" s="253">
        <f ca="1">L36-AER_Assumptions!L64</f>
        <v>-3666.9958035117506</v>
      </c>
    </row>
    <row r="37" spans="4:13" x14ac:dyDescent="0.25">
      <c r="D37" s="10" t="s">
        <v>174</v>
      </c>
      <c r="E37" s="50">
        <v>-93.6</v>
      </c>
      <c r="F37" s="50">
        <v>-155.1</v>
      </c>
      <c r="G37" s="50">
        <v>-79.334999999999994</v>
      </c>
      <c r="H37" s="50">
        <v>108.226</v>
      </c>
      <c r="I37" s="154">
        <v>108.226</v>
      </c>
      <c r="J37" s="154">
        <v>108.226</v>
      </c>
      <c r="K37" s="154">
        <v>108.226</v>
      </c>
      <c r="L37" s="154">
        <v>108.226</v>
      </c>
      <c r="M37" s="154">
        <v>108.226</v>
      </c>
    </row>
    <row r="38" spans="4:13" x14ac:dyDescent="0.25">
      <c r="D38" s="10" t="s">
        <v>175</v>
      </c>
      <c r="E38" s="50">
        <v>7734.6</v>
      </c>
      <c r="F38" s="50">
        <v>7399.7</v>
      </c>
      <c r="G38" s="50">
        <v>8410.2610000000004</v>
      </c>
      <c r="H38" s="50">
        <v>7674.9219999999996</v>
      </c>
      <c r="I38" s="154">
        <f ca="1">AER_Equity!G8</f>
        <v>10930.327209157398</v>
      </c>
      <c r="J38" s="154">
        <f ca="1">AER_Equity!H8</f>
        <v>13423.800236714735</v>
      </c>
      <c r="K38" s="154">
        <f ca="1">AER_Equity!I8</f>
        <v>16064.169577334373</v>
      </c>
      <c r="L38" s="154">
        <f ca="1">AER_Equity!J8</f>
        <v>18898.903084953505</v>
      </c>
      <c r="M38" s="154">
        <f ca="1">AER_Equity!K8</f>
        <v>21915.024967707588</v>
      </c>
    </row>
    <row r="39" spans="4:13" x14ac:dyDescent="0.25">
      <c r="D39" s="10" t="s">
        <v>310</v>
      </c>
      <c r="E39" s="50">
        <v>67.3</v>
      </c>
      <c r="F39" s="50">
        <v>68</v>
      </c>
      <c r="G39" s="50">
        <v>76.599999999999994</v>
      </c>
      <c r="H39" s="50">
        <v>77.5</v>
      </c>
      <c r="I39" s="154">
        <v>77.5</v>
      </c>
      <c r="J39" s="154">
        <v>77.5</v>
      </c>
      <c r="K39" s="154">
        <v>77.5</v>
      </c>
      <c r="L39" s="154">
        <v>77.5</v>
      </c>
      <c r="M39" s="154">
        <v>77.5</v>
      </c>
    </row>
    <row r="40" spans="4:13" x14ac:dyDescent="0.25">
      <c r="D40" s="4" t="s">
        <v>17</v>
      </c>
      <c r="E40" s="146">
        <v>9382.2000000000007</v>
      </c>
      <c r="F40" s="146">
        <v>8932.4860000000008</v>
      </c>
      <c r="G40" s="146">
        <v>16570.742999999999</v>
      </c>
      <c r="H40" s="146">
        <v>16117.507</v>
      </c>
      <c r="I40" s="155">
        <f ca="1">SUM(I34:I39)</f>
        <v>18195.660672657395</v>
      </c>
      <c r="J40" s="155">
        <f t="shared" ref="J40:M40" ca="1" si="2">SUM(J34:J39)</f>
        <v>20061.757931964734</v>
      </c>
      <c r="K40" s="155">
        <f t="shared" ca="1" si="2"/>
        <v>22137.489081159372</v>
      </c>
      <c r="L40" s="155">
        <f t="shared" ca="1" si="2"/>
        <v>24464.048216496005</v>
      </c>
      <c r="M40" s="155">
        <f t="shared" ca="1" si="2"/>
        <v>27022.813164195835</v>
      </c>
    </row>
    <row r="41" spans="4:13" x14ac:dyDescent="0.25">
      <c r="D41" s="4" t="s">
        <v>18</v>
      </c>
      <c r="E41" s="146">
        <f>42048.039</f>
        <v>42048.038999999997</v>
      </c>
      <c r="F41" s="146">
        <v>43749.243999999999</v>
      </c>
      <c r="G41" s="146">
        <v>74569.767999999996</v>
      </c>
      <c r="H41" s="146">
        <v>69726.918000000005</v>
      </c>
      <c r="I41" s="155">
        <f ca="1">I40+I31</f>
        <v>71570.495227118998</v>
      </c>
      <c r="J41" s="155">
        <f t="shared" ref="J41:M41" ca="1" si="3">J40+J31</f>
        <v>72853.7940471365</v>
      </c>
      <c r="K41" s="155">
        <f t="shared" ca="1" si="3"/>
        <v>73995.325260272715</v>
      </c>
      <c r="L41" s="155">
        <f t="shared" ca="1" si="3"/>
        <v>75051.368201423145</v>
      </c>
      <c r="M41" s="155">
        <f t="shared" ca="1" si="3"/>
        <v>77320.205213635534</v>
      </c>
    </row>
    <row r="42" spans="4:13" x14ac:dyDescent="0.25">
      <c r="E42" s="276"/>
      <c r="H42" s="241"/>
      <c r="I42" s="129"/>
    </row>
    <row r="43" spans="4:13" x14ac:dyDescent="0.25">
      <c r="D43" s="2" t="s">
        <v>330</v>
      </c>
      <c r="H43" s="241"/>
      <c r="I43" s="129"/>
    </row>
    <row r="44" spans="4:13" x14ac:dyDescent="0.25">
      <c r="D44" t="s">
        <v>329</v>
      </c>
      <c r="E44" s="317">
        <v>71.3</v>
      </c>
      <c r="F44" s="317">
        <v>68.5</v>
      </c>
      <c r="G44" s="317">
        <v>67.84</v>
      </c>
      <c r="H44" s="317">
        <v>65.849999999999994</v>
      </c>
      <c r="I44" s="318">
        <f ca="1">(I40-I39)/AER_IS!I40</f>
        <v>82.711400784177911</v>
      </c>
      <c r="J44" s="318">
        <f ca="1">(J40-J39)/AER_IS!J40</f>
        <v>95.923340851645136</v>
      </c>
      <c r="K44" s="318">
        <f ca="1">(K40-K39)/AER_IS!K40</f>
        <v>111.02696296727983</v>
      </c>
      <c r="L44" s="318">
        <f ca="1">(L40-L39)/AER_IS!L40</f>
        <v>128.34378878698541</v>
      </c>
      <c r="M44" s="318">
        <f ca="1">(M40-M39)/AER_IS!M40</f>
        <v>147.89121670448418</v>
      </c>
    </row>
    <row r="45" spans="4:13" x14ac:dyDescent="0.25">
      <c r="D45" t="s">
        <v>332</v>
      </c>
      <c r="E45" s="319">
        <v>0.86213183730715293</v>
      </c>
      <c r="F45" s="319">
        <v>0.66540145985401455</v>
      </c>
      <c r="G45" s="319">
        <v>0.96432783018867918</v>
      </c>
      <c r="H45" s="320">
        <v>0.88564920273348524</v>
      </c>
      <c r="I45" s="129"/>
    </row>
  </sheetData>
  <mergeCells count="2">
    <mergeCell ref="E6:H6"/>
    <mergeCell ref="I8:M8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3764-5327-4070-9E68-1E3C766DBFEB}">
  <dimension ref="C3:N45"/>
  <sheetViews>
    <sheetView showGridLines="0" zoomScale="67" zoomScaleNormal="90" zoomScaleSheetLayoutView="90" workbookViewId="0">
      <selection activeCell="I9" sqref="I9"/>
    </sheetView>
  </sheetViews>
  <sheetFormatPr defaultColWidth="9.140625" defaultRowHeight="15" x14ac:dyDescent="0.25"/>
  <cols>
    <col min="2" max="2" width="2.85546875" customWidth="1"/>
    <col min="3" max="3" width="45" bestFit="1" customWidth="1"/>
    <col min="4" max="5" width="11.42578125" bestFit="1" customWidth="1"/>
    <col min="6" max="6" width="11.7109375" bestFit="1" customWidth="1"/>
    <col min="7" max="7" width="12.42578125" bestFit="1" customWidth="1"/>
  </cols>
  <sheetData>
    <row r="3" spans="3:14" x14ac:dyDescent="0.25">
      <c r="D3" s="333" t="s">
        <v>15</v>
      </c>
      <c r="E3" s="333"/>
      <c r="F3" s="333"/>
      <c r="G3" s="333"/>
      <c r="H3" s="333"/>
      <c r="I3" s="333"/>
      <c r="J3" s="333"/>
      <c r="K3" s="333"/>
      <c r="L3" s="333"/>
    </row>
    <row r="4" spans="3:14" x14ac:dyDescent="0.25">
      <c r="C4" s="3"/>
      <c r="D4" s="3"/>
      <c r="E4" s="3"/>
      <c r="F4" s="3"/>
      <c r="G4" s="3"/>
    </row>
    <row r="5" spans="3:14" x14ac:dyDescent="0.25">
      <c r="C5" s="64" t="s">
        <v>41</v>
      </c>
      <c r="D5" s="108"/>
      <c r="E5" s="108"/>
      <c r="F5" s="108"/>
      <c r="G5" s="108"/>
      <c r="H5" s="108"/>
      <c r="I5" s="108"/>
      <c r="J5" s="108"/>
      <c r="K5" s="108"/>
      <c r="L5" s="108"/>
    </row>
    <row r="6" spans="3:14" x14ac:dyDescent="0.25">
      <c r="C6" s="3"/>
      <c r="D6" s="1" t="s">
        <v>3</v>
      </c>
      <c r="E6" s="1" t="s">
        <v>4</v>
      </c>
      <c r="F6" s="1" t="s">
        <v>5</v>
      </c>
      <c r="G6" s="1" t="s">
        <v>6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</row>
    <row r="7" spans="3:14" x14ac:dyDescent="0.25">
      <c r="C7" s="234" t="s">
        <v>163</v>
      </c>
      <c r="D7" s="3"/>
      <c r="E7" s="3"/>
      <c r="F7" s="3"/>
      <c r="G7" s="3"/>
    </row>
    <row r="8" spans="3:14" x14ac:dyDescent="0.25">
      <c r="C8" s="4" t="s">
        <v>280</v>
      </c>
      <c r="D8" s="3"/>
      <c r="E8" s="3"/>
      <c r="F8" s="3"/>
      <c r="G8" s="3"/>
    </row>
    <row r="9" spans="3:14" x14ac:dyDescent="0.25">
      <c r="C9" s="8" t="s">
        <v>162</v>
      </c>
      <c r="D9" s="239">
        <v>1121.4000000000001</v>
      </c>
      <c r="E9" s="239">
        <v>1248.8</v>
      </c>
      <c r="F9" s="239">
        <v>1728.7940000000001</v>
      </c>
      <c r="G9" s="239">
        <v>1597.1469999999999</v>
      </c>
      <c r="H9" s="125">
        <f ca="1">AER_Proj_BS!G9+AER_Proj_CF!G52</f>
        <v>2063.7455965526433</v>
      </c>
      <c r="I9" s="125">
        <f ca="1">AER_Proj_BS!H9+AER_Proj_CF!H52</f>
        <v>2027.3735108592773</v>
      </c>
      <c r="J9" s="125">
        <f ca="1">AER_Proj_BS!I9+AER_Proj_CF!I52</f>
        <v>5239.7256768423349</v>
      </c>
      <c r="K9" s="125">
        <f ca="1">AER_Proj_BS!J9+AER_Proj_CF!J52</f>
        <v>8432.6174791405392</v>
      </c>
      <c r="L9" s="125">
        <f ca="1">AER_Proj_BS!K9+AER_Proj_CF!K52</f>
        <v>12911.738554738491</v>
      </c>
    </row>
    <row r="10" spans="3:14" x14ac:dyDescent="0.25">
      <c r="C10" s="10" t="s">
        <v>154</v>
      </c>
      <c r="D10" s="239">
        <v>47.9</v>
      </c>
      <c r="E10" s="239">
        <v>170.7</v>
      </c>
      <c r="F10" s="239">
        <v>181.45500000000001</v>
      </c>
      <c r="G10" s="239">
        <v>132.202</v>
      </c>
      <c r="H10" s="252">
        <f ca="1">AER_Assumptions!H94</f>
        <v>177.51122035728838</v>
      </c>
      <c r="I10" s="252">
        <f ca="1">AER_Assumptions!I94</f>
        <v>188.88968958219058</v>
      </c>
      <c r="J10" s="252">
        <f ca="1">AER_Assumptions!J94</f>
        <v>198.3341740613001</v>
      </c>
      <c r="K10" s="252">
        <f ca="1">AER_Assumptions!K94</f>
        <v>208.25088276436514</v>
      </c>
      <c r="L10" s="252">
        <f ca="1">AER_Assumptions!L94</f>
        <v>218.66342690258341</v>
      </c>
    </row>
    <row r="11" spans="3:14" x14ac:dyDescent="0.25">
      <c r="C11" s="10" t="s">
        <v>153</v>
      </c>
      <c r="D11" s="239">
        <v>179</v>
      </c>
      <c r="E11" s="239">
        <v>246.5</v>
      </c>
      <c r="F11" s="239">
        <v>185.959</v>
      </c>
      <c r="G11" s="239">
        <v>159.62299999999999</v>
      </c>
      <c r="H11" s="252">
        <f>G11</f>
        <v>159.62299999999999</v>
      </c>
      <c r="I11" s="252">
        <f t="shared" ref="I11:L11" si="0">H11</f>
        <v>159.62299999999999</v>
      </c>
      <c r="J11" s="252">
        <f t="shared" si="0"/>
        <v>159.62299999999999</v>
      </c>
      <c r="K11" s="252">
        <f t="shared" si="0"/>
        <v>159.62299999999999</v>
      </c>
      <c r="L11" s="252">
        <f t="shared" si="0"/>
        <v>159.62299999999999</v>
      </c>
    </row>
    <row r="12" spans="3:14" x14ac:dyDescent="0.25">
      <c r="C12" s="4" t="s">
        <v>281</v>
      </c>
      <c r="D12" s="239"/>
      <c r="E12" s="239"/>
      <c r="F12" s="239"/>
      <c r="G12" s="239"/>
      <c r="H12" s="125"/>
      <c r="I12" s="125"/>
      <c r="J12" s="125"/>
      <c r="K12" s="125"/>
      <c r="L12" s="125"/>
    </row>
    <row r="13" spans="3:14" x14ac:dyDescent="0.25">
      <c r="C13" s="10" t="s">
        <v>155</v>
      </c>
      <c r="D13" s="239">
        <v>336.6</v>
      </c>
      <c r="E13" s="239" t="s">
        <v>300</v>
      </c>
      <c r="F13" s="239">
        <v>304.36200000000002</v>
      </c>
      <c r="G13" s="239">
        <v>292.80799999999999</v>
      </c>
      <c r="H13" s="252">
        <f>G13</f>
        <v>292.80799999999999</v>
      </c>
      <c r="I13" s="252">
        <f t="shared" ref="I13:L13" si="1">H13</f>
        <v>292.80799999999999</v>
      </c>
      <c r="J13" s="252">
        <f t="shared" si="1"/>
        <v>292.80799999999999</v>
      </c>
      <c r="K13" s="252">
        <f t="shared" si="1"/>
        <v>292.80799999999999</v>
      </c>
      <c r="L13" s="252">
        <f t="shared" si="1"/>
        <v>292.80799999999999</v>
      </c>
      <c r="N13" t="s">
        <v>307</v>
      </c>
    </row>
    <row r="14" spans="3:14" x14ac:dyDescent="0.25">
      <c r="C14" s="10" t="s">
        <v>177</v>
      </c>
      <c r="D14" s="239">
        <v>1011.5</v>
      </c>
      <c r="E14" s="239">
        <v>878.45</v>
      </c>
      <c r="F14" s="239">
        <v>1929.22</v>
      </c>
      <c r="G14" s="239">
        <v>1356.0719999999999</v>
      </c>
      <c r="H14" s="252">
        <f>G14-AER_Assumptions!H124</f>
        <v>1029.4559999999999</v>
      </c>
      <c r="I14" s="252">
        <f>H14-AER_Assumptions!I124</f>
        <v>672.03099999999995</v>
      </c>
      <c r="J14" s="252">
        <f>I14-AER_Assumptions!J124</f>
        <v>451.95499999999993</v>
      </c>
      <c r="K14" s="252">
        <f>J14-AER_Assumptions!K124</f>
        <v>280.52899999999994</v>
      </c>
      <c r="L14" s="252">
        <f>K14-AER_Assumptions!L124</f>
        <v>150.37799999999993</v>
      </c>
    </row>
    <row r="15" spans="3:14" x14ac:dyDescent="0.25">
      <c r="C15" s="10" t="s">
        <v>176</v>
      </c>
      <c r="D15" s="239">
        <v>35870.800000000003</v>
      </c>
      <c r="E15" s="239">
        <v>35156.449999999997</v>
      </c>
      <c r="F15" s="239">
        <v>57825.055999999997</v>
      </c>
      <c r="G15" s="239">
        <v>55220.809000000001</v>
      </c>
      <c r="H15" s="252">
        <f ca="1">G15+AER_Assumptions!H82-AER_Assumptions!H33-AER_Assumptions!H39</f>
        <v>57144.431680080001</v>
      </c>
      <c r="I15" s="252">
        <f ca="1">H15+AER_Assumptions!I82-AER_Assumptions!I33-AER_Assumptions!I39</f>
        <v>59115.624564184793</v>
      </c>
      <c r="J15" s="252">
        <f ca="1">I15+AER_Assumptions!J82-AER_Assumptions!J33-AER_Assumptions!J39</f>
        <v>57585.42894044712</v>
      </c>
      <c r="K15" s="252">
        <f ca="1">J15+AER_Assumptions!K82-AER_Assumptions!K33-AER_Assumptions!K39</f>
        <v>55960.358421951074</v>
      </c>
      <c r="L15" s="252">
        <f ca="1">K15+AER_Assumptions!L82-AER_Assumptions!L33-AER_Assumptions!L39</f>
        <v>54239.137274269306</v>
      </c>
    </row>
    <row r="16" spans="3:14" x14ac:dyDescent="0.25">
      <c r="C16" s="10" t="s">
        <v>156</v>
      </c>
      <c r="D16" s="239">
        <v>2954.5</v>
      </c>
      <c r="E16" s="239">
        <v>2111.6999999999998</v>
      </c>
      <c r="F16" s="239">
        <v>4586.848</v>
      </c>
      <c r="G16" s="239">
        <v>3806.6019999999999</v>
      </c>
      <c r="H16" s="252">
        <f ca="1">G16+-AER_Assumptions!H112</f>
        <v>3841.8825569594533</v>
      </c>
      <c r="I16" s="252">
        <f ca="1">H16+-AER_Assumptions!I112</f>
        <v>3856.2913465708398</v>
      </c>
      <c r="J16" s="252">
        <f ca="1">I16+-AER_Assumptions!J112</f>
        <v>3862.1759820742927</v>
      </c>
      <c r="K16" s="252">
        <f ca="1">J16+-AER_Assumptions!K112</f>
        <v>3864.579302265819</v>
      </c>
      <c r="L16" s="252">
        <f ca="1">K16+-AER_Assumptions!L112</f>
        <v>3865.5608325474495</v>
      </c>
    </row>
    <row r="17" spans="3:14" x14ac:dyDescent="0.25">
      <c r="C17" s="10" t="s">
        <v>157</v>
      </c>
      <c r="D17" s="239">
        <v>809.6</v>
      </c>
      <c r="E17" s="239">
        <v>649.9</v>
      </c>
      <c r="F17" s="239">
        <v>4444.5200000000004</v>
      </c>
      <c r="G17" s="239">
        <v>3364.453</v>
      </c>
      <c r="H17" s="252">
        <f ca="1">G17-AER_Assumptions!H118</f>
        <v>3063.8381731696127</v>
      </c>
      <c r="I17" s="252">
        <f ca="1">H17-AER_Assumptions!I118</f>
        <v>2743.9539359393975</v>
      </c>
      <c r="J17" s="252">
        <f ca="1">I17-AER_Assumptions!J118</f>
        <v>2408.075486847672</v>
      </c>
      <c r="K17" s="252">
        <f ca="1">J17-AER_Assumptions!K118</f>
        <v>2055.4031153013602</v>
      </c>
      <c r="L17" s="252">
        <f ca="1">K17-AER_Assumptions!L118</f>
        <v>1685.0971251777326</v>
      </c>
      <c r="M17" s="141"/>
      <c r="N17" s="141"/>
    </row>
    <row r="18" spans="3:14" x14ac:dyDescent="0.25">
      <c r="C18" s="156" t="s">
        <v>158</v>
      </c>
      <c r="D18" s="239">
        <v>307.39999999999998</v>
      </c>
      <c r="E18" s="239">
        <v>224.6</v>
      </c>
      <c r="F18" s="239">
        <v>208.87899999999999</v>
      </c>
      <c r="G18" s="239">
        <v>185.21</v>
      </c>
      <c r="H18" s="252">
        <f>G18</f>
        <v>185.21</v>
      </c>
      <c r="I18" s="252">
        <f t="shared" ref="I18:L18" si="2">H18</f>
        <v>185.21</v>
      </c>
      <c r="J18" s="252">
        <f t="shared" si="2"/>
        <v>185.21</v>
      </c>
      <c r="K18" s="252">
        <f t="shared" si="2"/>
        <v>185.21</v>
      </c>
      <c r="L18" s="252">
        <f t="shared" si="2"/>
        <v>185.21</v>
      </c>
      <c r="N18" s="141"/>
    </row>
    <row r="19" spans="3:14" x14ac:dyDescent="0.25">
      <c r="C19" s="156" t="s">
        <v>159</v>
      </c>
      <c r="D19" s="239">
        <v>95.1</v>
      </c>
      <c r="E19" s="239">
        <v>131.5</v>
      </c>
      <c r="F19" s="239">
        <v>121.571</v>
      </c>
      <c r="G19" s="239">
        <v>210.334</v>
      </c>
      <c r="H19" s="252">
        <f>G19</f>
        <v>210.334</v>
      </c>
      <c r="I19" s="252">
        <f t="shared" ref="I19:L19" si="3">H19</f>
        <v>210.334</v>
      </c>
      <c r="J19" s="252">
        <f t="shared" si="3"/>
        <v>210.334</v>
      </c>
      <c r="K19" s="252">
        <f t="shared" si="3"/>
        <v>210.334</v>
      </c>
      <c r="L19" s="252">
        <f t="shared" si="3"/>
        <v>210.334</v>
      </c>
      <c r="N19" s="141"/>
    </row>
    <row r="20" spans="3:14" x14ac:dyDescent="0.25">
      <c r="C20" s="156" t="s">
        <v>178</v>
      </c>
      <c r="D20" s="239">
        <v>0</v>
      </c>
      <c r="E20" s="239">
        <v>122.7</v>
      </c>
      <c r="F20" s="239">
        <v>705.08699999999999</v>
      </c>
      <c r="G20" s="239">
        <v>811.21900000000005</v>
      </c>
      <c r="H20" s="252">
        <f>G20</f>
        <v>811.21900000000005</v>
      </c>
      <c r="I20" s="252">
        <f t="shared" ref="I20:L20" si="4">H20</f>
        <v>811.21900000000005</v>
      </c>
      <c r="J20" s="252">
        <f t="shared" si="4"/>
        <v>811.21900000000005</v>
      </c>
      <c r="K20" s="252">
        <f t="shared" si="4"/>
        <v>811.21900000000005</v>
      </c>
      <c r="L20" s="252">
        <f t="shared" si="4"/>
        <v>811.21900000000005</v>
      </c>
      <c r="N20" s="141"/>
    </row>
    <row r="21" spans="3:14" x14ac:dyDescent="0.25">
      <c r="C21" s="10" t="s">
        <v>160</v>
      </c>
      <c r="D21" s="239">
        <v>1015.5</v>
      </c>
      <c r="E21" s="239">
        <v>1229.4000000000001</v>
      </c>
      <c r="F21" s="239">
        <v>2348.0169999999998</v>
      </c>
      <c r="G21" s="239">
        <v>2590.4389999999999</v>
      </c>
      <c r="H21" s="252">
        <f>G21</f>
        <v>2590.4389999999999</v>
      </c>
      <c r="I21" s="252">
        <f t="shared" ref="I21:L21" si="5">H21</f>
        <v>2590.4389999999999</v>
      </c>
      <c r="J21" s="252">
        <f t="shared" si="5"/>
        <v>2590.4389999999999</v>
      </c>
      <c r="K21" s="252">
        <f t="shared" si="5"/>
        <v>2590.4389999999999</v>
      </c>
      <c r="L21" s="252">
        <f t="shared" si="5"/>
        <v>2590.4389999999999</v>
      </c>
      <c r="N21" s="141"/>
    </row>
    <row r="22" spans="3:14" x14ac:dyDescent="0.25">
      <c r="C22" s="4" t="s">
        <v>161</v>
      </c>
      <c r="D22" s="50">
        <f>SUM(D$9:D$21)</f>
        <v>43749.3</v>
      </c>
      <c r="E22" s="50">
        <f t="shared" ref="E22:G22" si="6">SUM(E$9:E$21)</f>
        <v>42170.69999999999</v>
      </c>
      <c r="F22" s="50">
        <f t="shared" si="6"/>
        <v>74569.768000000011</v>
      </c>
      <c r="G22" s="50">
        <f t="shared" si="6"/>
        <v>69726.918000000005</v>
      </c>
      <c r="H22" s="246">
        <f ca="1">SUM(H9:H21)</f>
        <v>71570.498227119009</v>
      </c>
      <c r="I22" s="246">
        <f t="shared" ref="I22:L22" ca="1" si="7">SUM(I9:I21)</f>
        <v>72853.797047136497</v>
      </c>
      <c r="J22" s="246">
        <f t="shared" ca="1" si="7"/>
        <v>73995.328260272712</v>
      </c>
      <c r="K22" s="246">
        <f t="shared" ca="1" si="7"/>
        <v>75051.371201423171</v>
      </c>
      <c r="L22" s="246">
        <f t="shared" ca="1" si="7"/>
        <v>77320.208213635575</v>
      </c>
    </row>
    <row r="23" spans="3:14" x14ac:dyDescent="0.25">
      <c r="C23" s="3"/>
      <c r="D23" s="50"/>
      <c r="E23" s="50"/>
      <c r="F23" s="50"/>
      <c r="G23" s="50"/>
      <c r="H23" s="5"/>
      <c r="I23" s="5"/>
      <c r="J23" s="5"/>
      <c r="K23" s="5"/>
      <c r="L23" s="5"/>
    </row>
    <row r="24" spans="3:14" x14ac:dyDescent="0.25">
      <c r="C24" s="234" t="s">
        <v>164</v>
      </c>
      <c r="D24" s="50"/>
      <c r="E24" s="50"/>
      <c r="F24" s="50"/>
      <c r="G24" s="50"/>
      <c r="H24" s="5"/>
      <c r="I24" s="5"/>
      <c r="J24" s="5"/>
      <c r="K24" s="5"/>
      <c r="L24" s="5"/>
    </row>
    <row r="25" spans="3:14" x14ac:dyDescent="0.25">
      <c r="C25" s="4" t="s">
        <v>282</v>
      </c>
      <c r="D25" s="50"/>
      <c r="E25" s="50"/>
      <c r="F25" s="50"/>
      <c r="G25" s="50"/>
      <c r="H25" s="5"/>
      <c r="I25" s="5"/>
      <c r="J25" s="5"/>
      <c r="K25" s="5"/>
      <c r="L25" s="5"/>
    </row>
    <row r="26" spans="3:14" x14ac:dyDescent="0.25">
      <c r="C26" s="8" t="s">
        <v>170</v>
      </c>
      <c r="D26" s="50">
        <v>1032.5999999999999</v>
      </c>
      <c r="E26" s="50">
        <v>1109.3</v>
      </c>
      <c r="F26" s="50">
        <v>1958.096</v>
      </c>
      <c r="G26" s="50">
        <v>1494.953</v>
      </c>
      <c r="H26" s="245">
        <f ca="1">AER_Assumptions!H100+AER_Assumptions!H57</f>
        <v>1956.1002541598543</v>
      </c>
      <c r="I26" s="245">
        <f ca="1">AER_Assumptions!I100+AER_Assumptions!I57</f>
        <v>2080.2932605129467</v>
      </c>
      <c r="J26" s="245">
        <f ca="1">AER_Assumptions!J100+AER_Assumptions!J57</f>
        <v>2181.7004203692236</v>
      </c>
      <c r="K26" s="245">
        <f ca="1">AER_Assumptions!K100+AER_Assumptions!K57</f>
        <v>2288.6233791830409</v>
      </c>
      <c r="L26" s="245">
        <f ca="1">AER_Assumptions!L100+AER_Assumptions!L57</f>
        <v>2401.2488387093304</v>
      </c>
    </row>
    <row r="27" spans="3:14" x14ac:dyDescent="0.25">
      <c r="C27" s="10" t="s">
        <v>165</v>
      </c>
      <c r="D27" s="50">
        <v>2190.1999999999998</v>
      </c>
      <c r="E27" s="50">
        <v>1750.4</v>
      </c>
      <c r="F27" s="50">
        <v>2900.6509999999998</v>
      </c>
      <c r="G27" s="50">
        <v>2503.2020000000002</v>
      </c>
      <c r="H27" s="245">
        <f ca="1">G27+AER_Assumptions!H154+AER_Assumptions!H160+AER_Assumptions!H130</f>
        <v>2641.9004515495089</v>
      </c>
      <c r="I27" s="245">
        <f ca="1">H27+AER_Assumptions!I154+AER_Assumptions!I160+AER_Assumptions!I130</f>
        <v>2789.3241517263073</v>
      </c>
      <c r="J27" s="245">
        <f ca="1">I27+AER_Assumptions!J154+AER_Assumptions!J160+AER_Assumptions!J130</f>
        <v>2940.6895004732532</v>
      </c>
      <c r="K27" s="245">
        <f ca="1">J27+AER_Assumptions!K154+AER_Assumptions!K160+AER_Assumptions!K130</f>
        <v>3095.9711303797949</v>
      </c>
      <c r="L27" s="245">
        <f ca="1">K27+AER_Assumptions!L154+AER_Assumptions!L160+AER_Assumptions!L130</f>
        <v>3255.1279769128096</v>
      </c>
    </row>
    <row r="28" spans="3:14" x14ac:dyDescent="0.25">
      <c r="C28" s="4" t="s">
        <v>283</v>
      </c>
      <c r="D28" s="50"/>
      <c r="E28" s="50"/>
      <c r="F28" s="50"/>
      <c r="G28" s="50"/>
      <c r="H28" s="5"/>
      <c r="I28" s="5"/>
      <c r="J28" s="5"/>
      <c r="K28" s="5"/>
      <c r="L28" s="5"/>
    </row>
    <row r="29" spans="3:14" x14ac:dyDescent="0.25">
      <c r="C29" s="10" t="s">
        <v>166</v>
      </c>
      <c r="D29" s="50">
        <v>747.8</v>
      </c>
      <c r="E29" s="50">
        <v>600.29999999999995</v>
      </c>
      <c r="F29" s="50">
        <v>773.75300000000004</v>
      </c>
      <c r="G29" s="50">
        <v>806.65499999999997</v>
      </c>
      <c r="H29" s="245">
        <f ca="1">G29+AER_Assumptions!H142+AER_Assumptions!H148</f>
        <v>675.83941078287012</v>
      </c>
      <c r="I29" s="245">
        <f ca="1">H29+AER_Assumptions!I142+AER_Assumptions!I148</f>
        <v>536.63854229692231</v>
      </c>
      <c r="J29" s="245">
        <f ca="1">I29+AER_Assumptions!J142+AER_Assumptions!J148</f>
        <v>390.47763038667711</v>
      </c>
      <c r="K29" s="245">
        <f ca="1">J29+AER_Assumptions!K142+AER_Assumptions!K148</f>
        <v>237.00867288091956</v>
      </c>
      <c r="L29" s="245">
        <f ca="1">K29+AER_Assumptions!L142+AER_Assumptions!L148</f>
        <v>75.866267499874198</v>
      </c>
      <c r="N29" t="s">
        <v>309</v>
      </c>
    </row>
    <row r="30" spans="3:14" x14ac:dyDescent="0.25">
      <c r="C30" s="10" t="s">
        <v>167</v>
      </c>
      <c r="D30" s="50">
        <v>29486.1</v>
      </c>
      <c r="E30" s="50">
        <v>28742.1</v>
      </c>
      <c r="F30" s="50">
        <v>50204.678</v>
      </c>
      <c r="G30" s="50">
        <v>46532.959999999999</v>
      </c>
      <c r="H30" s="245">
        <f ca="1">AER_Debt!D80</f>
        <v>45916.770000000004</v>
      </c>
      <c r="I30" s="245">
        <f ca="1">AER_Debt!E80</f>
        <v>45082.39</v>
      </c>
      <c r="J30" s="245">
        <f ca="1">AER_Debt!F80</f>
        <v>43915.93</v>
      </c>
      <c r="K30" s="245">
        <f ca="1">AER_Debt!G80</f>
        <v>42407.53</v>
      </c>
      <c r="L30" s="245">
        <f ca="1">AER_Debt!H80</f>
        <v>41873.629999999997</v>
      </c>
    </row>
    <row r="31" spans="3:14" x14ac:dyDescent="0.25">
      <c r="C31" s="10" t="s">
        <v>168</v>
      </c>
      <c r="D31" s="50">
        <v>910.3</v>
      </c>
      <c r="E31" s="50">
        <v>913.4</v>
      </c>
      <c r="F31" s="50">
        <v>2085.23</v>
      </c>
      <c r="G31" s="50">
        <v>2194.098</v>
      </c>
      <c r="H31" s="245">
        <f ca="1">G31+AER_Assumptions!H106</f>
        <v>2184.2244379693657</v>
      </c>
      <c r="I31" s="245">
        <f ca="1">H31+AER_Assumptions!I106</f>
        <v>2177.1773480467887</v>
      </c>
      <c r="J31" s="245">
        <f ca="1">I31+AER_Assumptions!J106</f>
        <v>2169.7157813582103</v>
      </c>
      <c r="K31" s="245">
        <f ca="1">J31+AER_Assumptions!K106</f>
        <v>2161.7059234927397</v>
      </c>
      <c r="L31" s="245">
        <f ca="1">K31+AER_Assumptions!L106</f>
        <v>2153.18421544378</v>
      </c>
    </row>
    <row r="32" spans="3:14" x14ac:dyDescent="0.25">
      <c r="C32" s="4" t="s">
        <v>169</v>
      </c>
      <c r="D32" s="50">
        <f>SUM(D26:D31)</f>
        <v>34367</v>
      </c>
      <c r="E32" s="50">
        <f t="shared" ref="E32:G32" si="8">SUM(E26:E31)</f>
        <v>33115.5</v>
      </c>
      <c r="F32" s="50">
        <f t="shared" si="8"/>
        <v>57922.408000000003</v>
      </c>
      <c r="G32" s="50">
        <f t="shared" si="8"/>
        <v>53531.867999999995</v>
      </c>
      <c r="H32" s="25">
        <f ca="1">SUM(H26:H31)</f>
        <v>53374.834554461602</v>
      </c>
      <c r="I32" s="25">
        <f t="shared" ref="I32:L32" ca="1" si="9">SUM(I26:I31)</f>
        <v>52665.823302582961</v>
      </c>
      <c r="J32" s="25">
        <f t="shared" ca="1" si="9"/>
        <v>51598.513332587361</v>
      </c>
      <c r="K32" s="25">
        <f t="shared" ca="1" si="9"/>
        <v>50190.839105936488</v>
      </c>
      <c r="L32" s="25">
        <f t="shared" ca="1" si="9"/>
        <v>49759.057298565793</v>
      </c>
    </row>
    <row r="33" spans="3:14" x14ac:dyDescent="0.25">
      <c r="C33" s="3"/>
      <c r="D33" s="50"/>
      <c r="E33" s="50"/>
      <c r="F33" s="50"/>
      <c r="G33" s="50"/>
      <c r="H33" s="5"/>
      <c r="I33" s="5"/>
      <c r="J33" s="5"/>
      <c r="K33" s="5"/>
      <c r="L33" s="5"/>
    </row>
    <row r="34" spans="3:14" x14ac:dyDescent="0.25">
      <c r="C34" s="234" t="s">
        <v>16</v>
      </c>
      <c r="D34" s="50"/>
      <c r="E34" s="50"/>
      <c r="F34" s="50"/>
      <c r="G34" s="50"/>
      <c r="H34" s="5"/>
      <c r="I34" s="5"/>
      <c r="J34" s="5"/>
      <c r="K34" s="5"/>
      <c r="L34" s="5"/>
    </row>
    <row r="35" spans="3:14" x14ac:dyDescent="0.25">
      <c r="C35" s="10" t="s">
        <v>171</v>
      </c>
      <c r="D35" s="50">
        <v>1.8</v>
      </c>
      <c r="E35" s="50">
        <v>1.7</v>
      </c>
      <c r="F35" s="50">
        <v>3.024</v>
      </c>
      <c r="G35" s="50">
        <v>3.024</v>
      </c>
      <c r="H35" s="249">
        <f>G35</f>
        <v>3.024</v>
      </c>
      <c r="I35" s="249">
        <f t="shared" ref="I35:L35" si="10">H35</f>
        <v>3.024</v>
      </c>
      <c r="J35" s="249">
        <f t="shared" si="10"/>
        <v>3.024</v>
      </c>
      <c r="K35" s="249">
        <f t="shared" si="10"/>
        <v>3.024</v>
      </c>
      <c r="L35" s="249">
        <f t="shared" si="10"/>
        <v>3.024</v>
      </c>
      <c r="N35" s="141"/>
    </row>
    <row r="36" spans="3:14" x14ac:dyDescent="0.25">
      <c r="C36" s="10" t="s">
        <v>172</v>
      </c>
      <c r="D36" s="50">
        <v>2209.5</v>
      </c>
      <c r="E36" s="50">
        <v>2078.1</v>
      </c>
      <c r="F36" s="50">
        <v>8522.6939999999995</v>
      </c>
      <c r="G36" s="50">
        <v>8586.0339999999997</v>
      </c>
      <c r="H36" s="249">
        <f>G36</f>
        <v>8586.0339999999997</v>
      </c>
      <c r="I36" s="249">
        <f t="shared" ref="I36:L36" si="11">H36</f>
        <v>8586.0339999999997</v>
      </c>
      <c r="J36" s="249">
        <f t="shared" si="11"/>
        <v>8586.0339999999997</v>
      </c>
      <c r="K36" s="249">
        <f t="shared" si="11"/>
        <v>8586.0339999999997</v>
      </c>
      <c r="L36" s="249">
        <f t="shared" si="11"/>
        <v>8586.0339999999997</v>
      </c>
    </row>
    <row r="37" spans="3:14" x14ac:dyDescent="0.25">
      <c r="C37" s="10" t="s">
        <v>173</v>
      </c>
      <c r="D37" s="50">
        <v>-537.29999999999995</v>
      </c>
      <c r="E37" s="50">
        <v>-456</v>
      </c>
      <c r="F37" s="239">
        <v>-285.90100000000001</v>
      </c>
      <c r="G37" s="239">
        <v>-254.69900000000001</v>
      </c>
      <c r="H37" s="245">
        <f ca="1">-AER_Equity!G12</f>
        <v>-1509.4505365000002</v>
      </c>
      <c r="I37" s="245">
        <f ca="1">-AER_Equity!H12</f>
        <v>-2136.8263047500004</v>
      </c>
      <c r="J37" s="245">
        <f ca="1">-AER_Equity!I12</f>
        <v>-2701.4644961750005</v>
      </c>
      <c r="K37" s="245">
        <f ca="1">-AER_Equity!J12</f>
        <v>-3209.6388684575004</v>
      </c>
      <c r="L37" s="245">
        <f ca="1">-AER_Equity!K12</f>
        <v>-3666.9958035117506</v>
      </c>
    </row>
    <row r="38" spans="3:14" x14ac:dyDescent="0.25">
      <c r="C38" s="10" t="s">
        <v>174</v>
      </c>
      <c r="D38" s="50">
        <v>-93.6</v>
      </c>
      <c r="E38" s="50">
        <v>-155.1</v>
      </c>
      <c r="F38" s="50">
        <v>-79.334999999999994</v>
      </c>
      <c r="G38" s="50">
        <v>108.226</v>
      </c>
      <c r="H38" s="249">
        <f>G38</f>
        <v>108.226</v>
      </c>
      <c r="I38" s="249">
        <f t="shared" ref="I38:L38" si="12">H38</f>
        <v>108.226</v>
      </c>
      <c r="J38" s="249">
        <f t="shared" si="12"/>
        <v>108.226</v>
      </c>
      <c r="K38" s="249">
        <f t="shared" si="12"/>
        <v>108.226</v>
      </c>
      <c r="L38" s="249">
        <f t="shared" si="12"/>
        <v>108.226</v>
      </c>
    </row>
    <row r="39" spans="3:14" x14ac:dyDescent="0.25">
      <c r="C39" s="10" t="s">
        <v>175</v>
      </c>
      <c r="D39" s="50">
        <v>7734.6</v>
      </c>
      <c r="E39" s="50">
        <v>7399.7</v>
      </c>
      <c r="F39" s="50">
        <v>8410.2610000000004</v>
      </c>
      <c r="G39" s="50">
        <v>7674.9219999999996</v>
      </c>
      <c r="H39" s="5">
        <f ca="1">AER_Equity!G8</f>
        <v>10930.327209157398</v>
      </c>
      <c r="I39" s="5">
        <f ca="1">AER_Equity!H8</f>
        <v>13423.800236714735</v>
      </c>
      <c r="J39" s="5">
        <f ca="1">AER_Equity!I8</f>
        <v>16064.169577334373</v>
      </c>
      <c r="K39" s="5">
        <f ca="1">AER_Equity!J8</f>
        <v>18898.903084953505</v>
      </c>
      <c r="L39" s="5">
        <f ca="1">AER_Equity!K8</f>
        <v>21915.024967707588</v>
      </c>
    </row>
    <row r="40" spans="3:14" x14ac:dyDescent="0.25">
      <c r="C40" s="10" t="s">
        <v>284</v>
      </c>
      <c r="D40" s="50">
        <v>67.3</v>
      </c>
      <c r="E40" s="50">
        <v>68</v>
      </c>
      <c r="F40" s="50">
        <v>76.599999999999994</v>
      </c>
      <c r="G40" s="50">
        <v>77.5</v>
      </c>
      <c r="H40" s="249">
        <f>G40</f>
        <v>77.5</v>
      </c>
      <c r="I40" s="249">
        <f t="shared" ref="I40:L40" si="13">H40</f>
        <v>77.5</v>
      </c>
      <c r="J40" s="249">
        <f t="shared" si="13"/>
        <v>77.5</v>
      </c>
      <c r="K40" s="249">
        <f t="shared" si="13"/>
        <v>77.5</v>
      </c>
      <c r="L40" s="249">
        <f t="shared" si="13"/>
        <v>77.5</v>
      </c>
    </row>
    <row r="41" spans="3:14" x14ac:dyDescent="0.25">
      <c r="C41" s="4" t="s">
        <v>17</v>
      </c>
      <c r="D41" s="50">
        <f>SUM(D35:D40)</f>
        <v>9382.2999999999993</v>
      </c>
      <c r="E41" s="50">
        <f t="shared" ref="E41:G41" si="14">SUM(E35:E40)</f>
        <v>8936.4</v>
      </c>
      <c r="F41" s="50">
        <f t="shared" si="14"/>
        <v>16647.342999999997</v>
      </c>
      <c r="G41" s="50">
        <f t="shared" si="14"/>
        <v>16195.006999999998</v>
      </c>
      <c r="H41" s="25">
        <f t="shared" ref="H41:L41" ca="1" si="15">SUM(H35:H40)</f>
        <v>18195.660672657395</v>
      </c>
      <c r="I41" s="25">
        <f t="shared" ca="1" si="15"/>
        <v>20061.757931964734</v>
      </c>
      <c r="J41" s="25">
        <f t="shared" ca="1" si="15"/>
        <v>22137.489081159372</v>
      </c>
      <c r="K41" s="25">
        <f t="shared" ca="1" si="15"/>
        <v>24464.048216496005</v>
      </c>
      <c r="L41" s="25">
        <f t="shared" ca="1" si="15"/>
        <v>27022.813164195835</v>
      </c>
    </row>
    <row r="42" spans="3:14" x14ac:dyDescent="0.25">
      <c r="C42" s="4"/>
      <c r="D42" s="50"/>
      <c r="E42" s="50"/>
      <c r="F42" s="50"/>
      <c r="G42" s="50"/>
      <c r="H42" s="5"/>
      <c r="I42" s="5"/>
      <c r="J42" s="5"/>
      <c r="K42" s="5"/>
      <c r="L42" s="5"/>
    </row>
    <row r="43" spans="3:14" x14ac:dyDescent="0.25">
      <c r="C43" s="4" t="s">
        <v>18</v>
      </c>
      <c r="D43" s="50">
        <f>D41+D32</f>
        <v>43749.3</v>
      </c>
      <c r="E43" s="50">
        <f t="shared" ref="E43:G43" si="16">E41+E32</f>
        <v>42051.9</v>
      </c>
      <c r="F43" s="50">
        <f t="shared" si="16"/>
        <v>74569.751000000004</v>
      </c>
      <c r="G43" s="50">
        <f t="shared" si="16"/>
        <v>69726.875</v>
      </c>
      <c r="H43" s="25">
        <f ca="1">H41+H32</f>
        <v>71570.495227118998</v>
      </c>
      <c r="I43" s="25">
        <f t="shared" ref="I43:L43" ca="1" si="17">I41+I32</f>
        <v>72727.581234547688</v>
      </c>
      <c r="J43" s="25">
        <f t="shared" ca="1" si="17"/>
        <v>73736.002413746726</v>
      </c>
      <c r="K43" s="25">
        <f t="shared" ca="1" si="17"/>
        <v>74654.887322432493</v>
      </c>
      <c r="L43" s="25">
        <f t="shared" ca="1" si="17"/>
        <v>76781.870462761624</v>
      </c>
    </row>
    <row r="44" spans="3:14" x14ac:dyDescent="0.25">
      <c r="D44" s="243"/>
      <c r="E44" s="243"/>
      <c r="F44" s="243"/>
    </row>
    <row r="45" spans="3:14" x14ac:dyDescent="0.25">
      <c r="H45" s="243">
        <f ca="1">H43-H22</f>
        <v>-3.0000000115251169E-3</v>
      </c>
      <c r="I45" s="243">
        <f t="shared" ref="I45:L45" ca="1" si="18">I43-I22</f>
        <v>-126.21581258880906</v>
      </c>
      <c r="J45" s="243">
        <f t="shared" ca="1" si="18"/>
        <v>-259.32584652598598</v>
      </c>
      <c r="K45" s="243">
        <f t="shared" ca="1" si="18"/>
        <v>-396.48387899067893</v>
      </c>
      <c r="L45" s="243">
        <f t="shared" ca="1" si="18"/>
        <v>-538.33775087395043</v>
      </c>
    </row>
  </sheetData>
  <mergeCells count="1">
    <mergeCell ref="D3:L3"/>
  </mergeCells>
  <pageMargins left="0.7" right="0.7" top="0.75" bottom="0.75" header="0.3" footer="0.3"/>
  <pageSetup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04E0-5517-4DA0-BCA4-440DC237E2D8}">
  <dimension ref="C2:N56"/>
  <sheetViews>
    <sheetView showGridLines="0" zoomScale="63" zoomScaleNormal="90" zoomScaleSheetLayoutView="90" workbookViewId="0">
      <selection activeCell="B1" sqref="B1:N56"/>
    </sheetView>
  </sheetViews>
  <sheetFormatPr defaultRowHeight="15" x14ac:dyDescent="0.25"/>
  <cols>
    <col min="2" max="2" width="5.7109375" customWidth="1"/>
    <col min="3" max="3" width="63.140625" bestFit="1" customWidth="1"/>
    <col min="4" max="13" width="16.85546875" customWidth="1"/>
    <col min="14" max="14" width="5.7109375" customWidth="1"/>
  </cols>
  <sheetData>
    <row r="2" spans="3:14" x14ac:dyDescent="0.25">
      <c r="C2" s="27" t="s">
        <v>216</v>
      </c>
      <c r="D2" s="17"/>
      <c r="E2" s="99"/>
      <c r="F2" s="99"/>
      <c r="G2" s="99"/>
      <c r="H2" s="99"/>
      <c r="I2" s="99"/>
      <c r="J2" s="99"/>
      <c r="K2" s="99"/>
      <c r="L2" s="99"/>
      <c r="M2" s="98"/>
    </row>
    <row r="3" spans="3:14" x14ac:dyDescent="0.25">
      <c r="C3" s="100" t="s">
        <v>128</v>
      </c>
      <c r="D3" s="17"/>
      <c r="E3" s="99"/>
      <c r="F3" s="99"/>
      <c r="G3" s="99"/>
      <c r="H3" s="99"/>
      <c r="I3" s="99"/>
      <c r="J3" s="99"/>
      <c r="K3" s="99"/>
      <c r="L3" s="99"/>
      <c r="M3" s="98"/>
    </row>
    <row r="4" spans="3:14" x14ac:dyDescent="0.25">
      <c r="C4" s="94" t="s">
        <v>109</v>
      </c>
      <c r="D4" s="112">
        <f>Cover!$Q$17</f>
        <v>1</v>
      </c>
      <c r="E4" s="98"/>
      <c r="F4" s="98"/>
      <c r="G4" s="98"/>
      <c r="H4" s="98"/>
      <c r="I4" s="98"/>
      <c r="J4" s="98"/>
      <c r="K4" s="98"/>
      <c r="L4" s="98"/>
      <c r="M4" s="98"/>
    </row>
    <row r="6" spans="3:14" ht="15.75" thickBot="1" x14ac:dyDescent="0.3">
      <c r="C6" s="3"/>
      <c r="D6" s="332" t="s">
        <v>19</v>
      </c>
      <c r="E6" s="332"/>
      <c r="F6" s="332"/>
      <c r="G6" s="332"/>
      <c r="H6" s="332"/>
    </row>
    <row r="7" spans="3:14" x14ac:dyDescent="0.25">
      <c r="C7" s="3"/>
      <c r="D7" s="3"/>
      <c r="E7" s="3"/>
      <c r="F7" s="3"/>
      <c r="G7" s="3"/>
      <c r="H7" s="3"/>
    </row>
    <row r="8" spans="3:14" x14ac:dyDescent="0.25">
      <c r="C8" s="64" t="s">
        <v>41</v>
      </c>
      <c r="D8" s="108"/>
      <c r="E8" s="108"/>
      <c r="F8" s="108"/>
      <c r="G8" s="108"/>
      <c r="H8" s="108"/>
      <c r="I8" s="334" t="s">
        <v>40</v>
      </c>
      <c r="J8" s="334"/>
      <c r="K8" s="334"/>
      <c r="L8" s="334"/>
      <c r="M8" s="334"/>
    </row>
    <row r="9" spans="3:14" x14ac:dyDescent="0.25">
      <c r="C9" s="3"/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35</v>
      </c>
      <c r="J9" s="1" t="s">
        <v>36</v>
      </c>
      <c r="K9" s="1" t="s">
        <v>37</v>
      </c>
      <c r="L9" s="1" t="s">
        <v>38</v>
      </c>
      <c r="M9" s="1" t="s">
        <v>39</v>
      </c>
    </row>
    <row r="10" spans="3:14" x14ac:dyDescent="0.25">
      <c r="C10" s="234" t="s">
        <v>20</v>
      </c>
      <c r="D10" s="3"/>
      <c r="E10" s="3"/>
      <c r="F10" s="3"/>
      <c r="G10" s="3"/>
      <c r="H10" s="3"/>
    </row>
    <row r="11" spans="3:14" x14ac:dyDescent="0.25">
      <c r="C11" s="8" t="s">
        <v>179</v>
      </c>
      <c r="D11" s="239">
        <v>1017.497</v>
      </c>
      <c r="E11" s="239">
        <v>1166.777</v>
      </c>
      <c r="F11" s="239">
        <v>-294.923</v>
      </c>
      <c r="G11" s="239">
        <v>1009.431</v>
      </c>
      <c r="H11" s="239">
        <v>-721.15800000000002</v>
      </c>
      <c r="I11" s="125">
        <f ca="1">AER_IS!I34</f>
        <v>3263.4811657349992</v>
      </c>
      <c r="J11" s="125">
        <f ca="1">AER_IS!J34</f>
        <v>2501.990315398959</v>
      </c>
      <c r="K11" s="125">
        <f ca="1">AER_IS!K34</f>
        <v>2649.1456470162207</v>
      </c>
      <c r="L11" s="125">
        <f ca="1">AER_IS!L34</f>
        <v>2843.810285849454</v>
      </c>
      <c r="M11" s="125">
        <f ca="1">AER_IS!M34</f>
        <v>3025.5369582906587</v>
      </c>
      <c r="N11" s="3"/>
    </row>
    <row r="12" spans="3:14" x14ac:dyDescent="0.25">
      <c r="C12" s="10" t="s">
        <v>180</v>
      </c>
      <c r="D12" s="239">
        <v>1679.0740000000001</v>
      </c>
      <c r="E12" s="239">
        <v>1676.1210000000001</v>
      </c>
      <c r="F12" s="239">
        <v>1645.373</v>
      </c>
      <c r="G12" s="239">
        <v>1737.925</v>
      </c>
      <c r="H12" s="239">
        <v>2389.8069999999998</v>
      </c>
      <c r="I12" s="125">
        <f ca="1">AER_Assumptions!H33</f>
        <v>2456.9533800000004</v>
      </c>
      <c r="J12" s="125">
        <f ca="1">AER_Assumptions!I33</f>
        <v>2635.3281953880005</v>
      </c>
      <c r="K12" s="125">
        <f ca="1">AER_Assumptions!J33</f>
        <v>2767.0946051574006</v>
      </c>
      <c r="L12" s="125">
        <f ca="1">AER_Assumptions!K33</f>
        <v>2905.4493354152705</v>
      </c>
      <c r="M12" s="125">
        <f ca="1">AER_Assumptions!L33</f>
        <v>3050.721802186034</v>
      </c>
      <c r="N12" s="3"/>
    </row>
    <row r="13" spans="3:14" x14ac:dyDescent="0.25">
      <c r="C13" s="10" t="s">
        <v>134</v>
      </c>
      <c r="D13" s="239">
        <v>0</v>
      </c>
      <c r="E13" s="239">
        <v>0</v>
      </c>
      <c r="F13" s="239">
        <v>0</v>
      </c>
      <c r="G13" s="239">
        <v>0</v>
      </c>
      <c r="H13" s="239">
        <v>2922.35</v>
      </c>
      <c r="I13" s="125">
        <f ca="1">AER_Assumptions!H70</f>
        <v>-645</v>
      </c>
      <c r="J13" s="125">
        <f ca="1">AER_Assumptions!I70</f>
        <v>0</v>
      </c>
      <c r="K13" s="125">
        <f ca="1">AER_Assumptions!J70</f>
        <v>0</v>
      </c>
      <c r="L13" s="125">
        <f ca="1">AER_Assumptions!K70</f>
        <v>0</v>
      </c>
      <c r="M13" s="125">
        <f ca="1">AER_Assumptions!L70</f>
        <v>0</v>
      </c>
      <c r="N13" s="3"/>
    </row>
    <row r="14" spans="3:14" x14ac:dyDescent="0.25">
      <c r="C14" s="10" t="s">
        <v>135</v>
      </c>
      <c r="D14" s="239">
        <v>44.186</v>
      </c>
      <c r="E14" s="239">
        <v>70.149000000000001</v>
      </c>
      <c r="F14" s="239">
        <v>1086.9829999999999</v>
      </c>
      <c r="G14" s="239">
        <v>128.40899999999999</v>
      </c>
      <c r="H14" s="239">
        <v>96.590999999999994</v>
      </c>
      <c r="I14" s="125">
        <f ca="1">AER_Assumptions!H39</f>
        <v>61.200057599999994</v>
      </c>
      <c r="J14" s="125">
        <f ca="1">AER_Assumptions!I39</f>
        <v>77.987233399679994</v>
      </c>
      <c r="K14" s="125">
        <f ca="1">AER_Assumptions!J39</f>
        <v>79.546978067673592</v>
      </c>
      <c r="L14" s="125">
        <f ca="1">AER_Assumptions!K39</f>
        <v>81.137917629027072</v>
      </c>
      <c r="M14" s="125">
        <f ca="1">AER_Assumptions!L39</f>
        <v>82.760675981607619</v>
      </c>
      <c r="N14" s="3"/>
    </row>
    <row r="15" spans="3:14" x14ac:dyDescent="0.25">
      <c r="C15" s="10" t="s">
        <v>181</v>
      </c>
      <c r="D15" s="239">
        <v>76.498999999999995</v>
      </c>
      <c r="E15" s="239">
        <v>79.644999999999996</v>
      </c>
      <c r="F15" s="239">
        <v>64.97</v>
      </c>
      <c r="G15" s="239">
        <v>113.98099999999999</v>
      </c>
      <c r="H15" s="239">
        <v>338.03199999999998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3"/>
    </row>
    <row r="16" spans="3:14" x14ac:dyDescent="0.25">
      <c r="C16" s="10" t="s">
        <v>182</v>
      </c>
      <c r="D16" s="239">
        <v>142.596</v>
      </c>
      <c r="E16" s="239">
        <v>-79.097999999999999</v>
      </c>
      <c r="F16" s="239">
        <v>-47.279000000000003</v>
      </c>
      <c r="G16" s="239">
        <v>-16.977</v>
      </c>
      <c r="H16" s="239">
        <v>-4.79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3"/>
    </row>
    <row r="17" spans="3:14" x14ac:dyDescent="0.25">
      <c r="C17" s="10" t="s">
        <v>183</v>
      </c>
      <c r="D17" s="239">
        <v>287.11900000000003</v>
      </c>
      <c r="E17" s="239">
        <v>244.74799999999999</v>
      </c>
      <c r="F17" s="239">
        <v>133.01499999999999</v>
      </c>
      <c r="G17" s="239">
        <v>138.78</v>
      </c>
      <c r="H17" s="239">
        <v>389.85199999999998</v>
      </c>
      <c r="I17" s="125">
        <f ca="1">AER_Assumptions!H118</f>
        <v>300.61482683038707</v>
      </c>
      <c r="J17" s="125">
        <f ca="1">AER_Assumptions!I118</f>
        <v>319.88423723021492</v>
      </c>
      <c r="K17" s="125">
        <f ca="1">AER_Assumptions!J118</f>
        <v>335.87844909172566</v>
      </c>
      <c r="L17" s="125">
        <f ca="1">AER_Assumptions!K118</f>
        <v>352.67237154631198</v>
      </c>
      <c r="M17" s="125">
        <f ca="1">AER_Assumptions!L118</f>
        <v>370.30599012362762</v>
      </c>
      <c r="N17" s="3"/>
    </row>
    <row r="18" spans="3:14" x14ac:dyDescent="0.25">
      <c r="C18" s="10" t="s">
        <v>184</v>
      </c>
      <c r="D18" s="239">
        <v>228.08099999999999</v>
      </c>
      <c r="E18" s="239">
        <v>-207.84899999999999</v>
      </c>
      <c r="F18" s="239">
        <v>-344.21</v>
      </c>
      <c r="G18" s="239">
        <v>-273.14600000000002</v>
      </c>
      <c r="H18" s="239">
        <v>-203.49</v>
      </c>
      <c r="I18" s="125">
        <f ca="1">AER_Assumptions!H130</f>
        <v>-216.68896101393696</v>
      </c>
      <c r="J18" s="125">
        <f ca="1">AER_Assumptions!I130</f>
        <v>-230.74404553196464</v>
      </c>
      <c r="K18" s="125">
        <f ca="1">AER_Assumptions!J130</f>
        <v>-245.71078424725528</v>
      </c>
      <c r="L18" s="125">
        <f ca="1">AER_Assumptions!K130</f>
        <v>-261.64830973736974</v>
      </c>
      <c r="M18" s="125">
        <f ca="1">AER_Assumptions!L130</f>
        <v>-278.6195900930926</v>
      </c>
      <c r="N18" s="3"/>
    </row>
    <row r="19" spans="3:14" x14ac:dyDescent="0.25">
      <c r="C19" s="10" t="s">
        <v>185</v>
      </c>
      <c r="D19" s="239">
        <v>201.32300000000001</v>
      </c>
      <c r="E19" s="239">
        <v>-188.83500000000001</v>
      </c>
      <c r="F19" s="239">
        <v>-89.617999999999995</v>
      </c>
      <c r="G19" s="239">
        <v>-89.427999999999997</v>
      </c>
      <c r="H19" s="239">
        <v>-228.93</v>
      </c>
      <c r="I19" s="125">
        <f ca="1">-AER_Assumptions!H15</f>
        <v>-575.34014999999999</v>
      </c>
      <c r="J19" s="125">
        <f ca="1">-AER_Assumptions!I15</f>
        <v>-570.04702062000001</v>
      </c>
      <c r="K19" s="125">
        <f ca="1">-AER_Assumptions!J15</f>
        <v>-456.03761649600006</v>
      </c>
      <c r="L19" s="125">
        <f ca="1">-AER_Assumptions!K15</f>
        <v>-364.83009319680008</v>
      </c>
      <c r="M19" s="125">
        <f ca="1">-AER_Assumptions!L15</f>
        <v>-291.86407455744006</v>
      </c>
      <c r="N19" s="3"/>
    </row>
    <row r="20" spans="3:14" x14ac:dyDescent="0.25">
      <c r="C20" s="10" t="s">
        <v>186</v>
      </c>
      <c r="D20" s="239">
        <v>147.58799999999999</v>
      </c>
      <c r="E20" s="239">
        <v>162.49799999999999</v>
      </c>
      <c r="F20" s="239">
        <v>-20.882000000000001</v>
      </c>
      <c r="G20" s="239">
        <v>-5.9050000000000002</v>
      </c>
      <c r="H20" s="239">
        <v>-9.5860000000000003</v>
      </c>
      <c r="I20" s="125">
        <f ca="1">AER_Assumptions!H106</f>
        <v>-9.8735620306341225</v>
      </c>
      <c r="J20" s="125">
        <f ca="1">AER_Assumptions!I106</f>
        <v>-7.047089922576883</v>
      </c>
      <c r="K20" s="125">
        <f ca="1">AER_Assumptions!J106</f>
        <v>-7.4615666885783156</v>
      </c>
      <c r="L20" s="125">
        <f ca="1">AER_Assumptions!K106</f>
        <v>-8.0098578654708223</v>
      </c>
      <c r="M20" s="125">
        <f ca="1">AER_Assumptions!L106</f>
        <v>-8.5217080489594963</v>
      </c>
      <c r="N20" s="3"/>
    </row>
    <row r="21" spans="3:14" x14ac:dyDescent="0.25">
      <c r="C21" s="10" t="s">
        <v>187</v>
      </c>
      <c r="D21" s="239">
        <v>95.176000000000002</v>
      </c>
      <c r="E21" s="239">
        <v>69.41</v>
      </c>
      <c r="F21" s="239">
        <v>69.186999999999998</v>
      </c>
      <c r="G21" s="239">
        <v>96.087000000000003</v>
      </c>
      <c r="H21" s="239">
        <v>102.848</v>
      </c>
      <c r="I21" s="125">
        <f ca="1">AER_Assumptions!H57</f>
        <v>126.21281258879681</v>
      </c>
      <c r="J21" s="125">
        <f ca="1">AER_Assumptions!I57</f>
        <v>133.11003393718408</v>
      </c>
      <c r="K21" s="125">
        <f ca="1">AER_Assumptions!J57</f>
        <v>137.1580324646728</v>
      </c>
      <c r="L21" s="125">
        <f ca="1">AER_Assumptions!K57</f>
        <v>141.85387188326246</v>
      </c>
      <c r="M21" s="125">
        <f ca="1">AER_Assumptions!L57</f>
        <v>147.14085604456284</v>
      </c>
      <c r="N21" s="3"/>
    </row>
    <row r="22" spans="3:14" x14ac:dyDescent="0.25">
      <c r="C22" s="10" t="s">
        <v>188</v>
      </c>
      <c r="D22" s="239">
        <v>0</v>
      </c>
      <c r="E22" s="239">
        <v>98.364999999999995</v>
      </c>
      <c r="F22" s="239">
        <v>68.128</v>
      </c>
      <c r="G22" s="239">
        <v>124.325</v>
      </c>
      <c r="H22" s="239">
        <v>630.42700000000002</v>
      </c>
      <c r="I22" s="125">
        <f>AER_Assumptions!H124</f>
        <v>326.61599999999999</v>
      </c>
      <c r="J22" s="125">
        <f>AER_Assumptions!I124</f>
        <v>357.42500000000001</v>
      </c>
      <c r="K22" s="125">
        <f>AER_Assumptions!J124</f>
        <v>220.07599999999999</v>
      </c>
      <c r="L22" s="125">
        <f>AER_Assumptions!K124</f>
        <v>171.42599999999999</v>
      </c>
      <c r="M22" s="125">
        <f>AER_Assumptions!L124</f>
        <v>130.15100000000001</v>
      </c>
      <c r="N22" s="3"/>
    </row>
    <row r="23" spans="3:14" x14ac:dyDescent="0.25">
      <c r="C23" s="10" t="s">
        <v>189</v>
      </c>
      <c r="D23" s="239">
        <v>0</v>
      </c>
      <c r="E23" s="239">
        <v>0</v>
      </c>
      <c r="F23" s="239">
        <v>143.51</v>
      </c>
      <c r="G23" s="239">
        <v>-2.3010000000000002</v>
      </c>
      <c r="H23" s="239">
        <v>17.675999999999998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3"/>
    </row>
    <row r="24" spans="3:14" x14ac:dyDescent="0.25">
      <c r="C24" s="10" t="s">
        <v>137</v>
      </c>
      <c r="D24" s="239">
        <v>0</v>
      </c>
      <c r="E24" s="239">
        <v>0</v>
      </c>
      <c r="F24" s="239">
        <v>118.46</v>
      </c>
      <c r="G24" s="239">
        <v>9.7129999999999992</v>
      </c>
      <c r="H24" s="239">
        <v>-2.0409999999999999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3"/>
    </row>
    <row r="25" spans="3:14" x14ac:dyDescent="0.25">
      <c r="C25" s="10" t="s">
        <v>140</v>
      </c>
      <c r="D25" s="239">
        <v>0</v>
      </c>
      <c r="E25" s="239">
        <v>0</v>
      </c>
      <c r="F25" s="239">
        <v>0</v>
      </c>
      <c r="G25" s="239">
        <v>186.47399999999999</v>
      </c>
      <c r="H25" s="239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3"/>
    </row>
    <row r="26" spans="3:14" x14ac:dyDescent="0.25">
      <c r="C26" s="10" t="s">
        <v>190</v>
      </c>
      <c r="D26" s="239">
        <v>60.451999999999998</v>
      </c>
      <c r="E26" s="239">
        <v>96.117000000000004</v>
      </c>
      <c r="F26" s="239">
        <v>252.35</v>
      </c>
      <c r="G26" s="239">
        <v>61.212000000000003</v>
      </c>
      <c r="H26" s="239">
        <v>-157.143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3"/>
    </row>
    <row r="27" spans="3:14" x14ac:dyDescent="0.25">
      <c r="C27" s="10" t="s">
        <v>191</v>
      </c>
      <c r="D27" s="239"/>
      <c r="E27" s="239"/>
      <c r="F27" s="239"/>
      <c r="G27" s="239"/>
      <c r="H27" s="239"/>
      <c r="I27" s="125"/>
      <c r="J27" s="125"/>
      <c r="K27" s="125"/>
      <c r="L27" s="125"/>
      <c r="M27" s="125"/>
      <c r="N27" s="3"/>
    </row>
    <row r="28" spans="3:14" x14ac:dyDescent="0.25">
      <c r="C28" s="16" t="s">
        <v>154</v>
      </c>
      <c r="D28" s="239">
        <v>19.838999999999999</v>
      </c>
      <c r="E28" s="239">
        <v>-8.7509999999999994</v>
      </c>
      <c r="F28" s="239">
        <v>-128.18799999999999</v>
      </c>
      <c r="G28" s="239">
        <v>232.119</v>
      </c>
      <c r="H28" s="239">
        <v>39.161999999999999</v>
      </c>
      <c r="I28" s="125">
        <f ca="1">AER_Assumptions!G94-AER_Assumptions!H94</f>
        <v>-45.309220357288382</v>
      </c>
      <c r="J28" s="125">
        <f ca="1">AER_Assumptions!H94-AER_Assumptions!I94</f>
        <v>-11.378469224902204</v>
      </c>
      <c r="K28" s="125">
        <f ca="1">AER_Assumptions!I94-AER_Assumptions!J94</f>
        <v>-9.4444844791095193</v>
      </c>
      <c r="L28" s="125">
        <f ca="1">AER_Assumptions!J94-AER_Assumptions!K94</f>
        <v>-9.9167087030650407</v>
      </c>
      <c r="M28" s="125">
        <f ca="1">AER_Assumptions!K94-AER_Assumptions!L94</f>
        <v>-10.412544138218266</v>
      </c>
      <c r="N28" s="3"/>
    </row>
    <row r="29" spans="3:14" x14ac:dyDescent="0.25">
      <c r="C29" s="16" t="s">
        <v>160</v>
      </c>
      <c r="D29" s="239">
        <v>9.8000000000000007</v>
      </c>
      <c r="E29" s="239">
        <v>-73646</v>
      </c>
      <c r="F29" s="239">
        <v>-400.31599999999997</v>
      </c>
      <c r="G29" s="239">
        <v>112.79</v>
      </c>
      <c r="H29" s="239">
        <v>113.374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3"/>
    </row>
    <row r="30" spans="3:14" x14ac:dyDescent="0.25">
      <c r="C30" s="16" t="s">
        <v>192</v>
      </c>
      <c r="D30" s="239" t="s">
        <v>206</v>
      </c>
      <c r="E30" s="239">
        <v>3.1E-2</v>
      </c>
      <c r="F30" s="239">
        <v>-126.17700000000001</v>
      </c>
      <c r="G30" s="239">
        <v>130.333</v>
      </c>
      <c r="H30" s="239">
        <v>-542.01900000000001</v>
      </c>
      <c r="I30" s="125">
        <f ca="1">AER_Assumptions!H100-AER_Assumptions!G100</f>
        <v>334.9344415710575</v>
      </c>
      <c r="J30" s="125">
        <f ca="1">AER_Assumptions!I100-AER_Assumptions!H100</f>
        <v>117.29578500470507</v>
      </c>
      <c r="K30" s="125">
        <f ca="1">AER_Assumptions!J100-AER_Assumptions!I100</f>
        <v>97.359161328788105</v>
      </c>
      <c r="L30" s="125">
        <f ca="1">AER_Assumptions!K100-AER_Assumptions!J100</f>
        <v>102.22711939522787</v>
      </c>
      <c r="M30" s="125">
        <f ca="1">AER_Assumptions!L100-AER_Assumptions!K100</f>
        <v>107.33847536498888</v>
      </c>
      <c r="N30" s="3"/>
    </row>
    <row r="31" spans="3:14" x14ac:dyDescent="0.25">
      <c r="C31" s="4" t="s">
        <v>21</v>
      </c>
      <c r="D31" s="255">
        <v>2840.3719999999998</v>
      </c>
      <c r="E31" s="255">
        <v>3105.6819999999998</v>
      </c>
      <c r="F31" s="255">
        <v>2130.3829999999998</v>
      </c>
      <c r="G31" s="255">
        <v>3693.8220000000001</v>
      </c>
      <c r="H31" s="255">
        <v>5170.9620000000004</v>
      </c>
      <c r="I31" s="125">
        <f ca="1">SUM(I11:I30)</f>
        <v>5377.8007909233802</v>
      </c>
      <c r="J31" s="125">
        <f t="shared" ref="J31:M31" ca="1" si="0">SUM(J11:J30)</f>
        <v>5323.8041750593011</v>
      </c>
      <c r="K31" s="125">
        <f t="shared" ca="1" si="0"/>
        <v>5567.6044212155393</v>
      </c>
      <c r="L31" s="125">
        <f t="shared" ca="1" si="0"/>
        <v>5954.1719322158497</v>
      </c>
      <c r="M31" s="125">
        <f t="shared" ca="1" si="0"/>
        <v>6324.5378411537686</v>
      </c>
      <c r="N31" s="3"/>
    </row>
    <row r="32" spans="3:14" x14ac:dyDescent="0.25">
      <c r="C32" s="3"/>
      <c r="D32" s="239"/>
      <c r="E32" s="239"/>
      <c r="F32" s="239"/>
      <c r="G32" s="239"/>
      <c r="H32" s="239"/>
      <c r="I32" s="125"/>
      <c r="J32" s="125"/>
      <c r="K32" s="125"/>
      <c r="L32" s="125"/>
      <c r="M32" s="125"/>
      <c r="N32" s="3"/>
    </row>
    <row r="33" spans="3:14" x14ac:dyDescent="0.25">
      <c r="C33" s="234" t="s">
        <v>22</v>
      </c>
      <c r="D33" s="239"/>
      <c r="E33" s="239"/>
      <c r="F33" s="239"/>
      <c r="G33" s="239"/>
      <c r="H33" s="239"/>
      <c r="I33" s="125"/>
      <c r="J33" s="125"/>
      <c r="K33" s="125"/>
      <c r="L33" s="125"/>
      <c r="M33" s="125"/>
      <c r="N33" s="3"/>
    </row>
    <row r="34" spans="3:14" x14ac:dyDescent="0.25">
      <c r="C34" s="10" t="s">
        <v>193</v>
      </c>
      <c r="D34" s="239">
        <v>-4036.194</v>
      </c>
      <c r="E34" s="239">
        <v>-3359.0920000000001</v>
      </c>
      <c r="F34" s="239">
        <v>-778.54700000000003</v>
      </c>
      <c r="G34" s="239">
        <v>-1703.395</v>
      </c>
      <c r="H34" s="239">
        <v>-3480.0740000000001</v>
      </c>
      <c r="I34" s="125">
        <f ca="1">-AER_Assumptions!H82</f>
        <v>-4441.7761176799995</v>
      </c>
      <c r="J34" s="125">
        <f ca="1">-AER_Assumptions!I82</f>
        <v>-4684.5083128924744</v>
      </c>
      <c r="K34" s="125">
        <f ca="1">-AER_Assumptions!J82</f>
        <v>-1316.445959487402</v>
      </c>
      <c r="L34" s="125">
        <f ca="1">-AER_Assumptions!K82</f>
        <v>-1361.5167345482521</v>
      </c>
      <c r="M34" s="125">
        <f ca="1">-AER_Assumptions!L82</f>
        <v>-1412.2613304858646</v>
      </c>
      <c r="N34" s="3"/>
    </row>
    <row r="35" spans="3:14" x14ac:dyDescent="0.25">
      <c r="C35" s="10" t="s">
        <v>194</v>
      </c>
      <c r="D35" s="239">
        <v>1822.6010000000001</v>
      </c>
      <c r="E35" s="239">
        <v>1773.7660000000001</v>
      </c>
      <c r="F35" s="239">
        <v>471.43700000000001</v>
      </c>
      <c r="G35" s="239">
        <v>796.61300000000006</v>
      </c>
      <c r="H35" s="239">
        <v>1635.777</v>
      </c>
      <c r="I35" s="125">
        <f ca="1">AER_Assumptions!H15</f>
        <v>575.34014999999999</v>
      </c>
      <c r="J35" s="125">
        <f ca="1">AER_Assumptions!I15</f>
        <v>570.04702062000001</v>
      </c>
      <c r="K35" s="125">
        <f ca="1">AER_Assumptions!J15</f>
        <v>456.03761649600006</v>
      </c>
      <c r="L35" s="125">
        <f ca="1">AER_Assumptions!K15</f>
        <v>364.83009319680008</v>
      </c>
      <c r="M35" s="125">
        <f ca="1">AER_Assumptions!L15</f>
        <v>291.86407455744006</v>
      </c>
      <c r="N35" s="3"/>
    </row>
    <row r="36" spans="3:14" x14ac:dyDescent="0.25">
      <c r="C36" s="10" t="s">
        <v>156</v>
      </c>
      <c r="D36" s="239">
        <v>-1912.2149999999999</v>
      </c>
      <c r="E36" s="239">
        <v>-1369.4</v>
      </c>
      <c r="F36" s="239">
        <v>-405.178</v>
      </c>
      <c r="G36" s="239">
        <v>-86.385999999999996</v>
      </c>
      <c r="H36" s="239">
        <v>-391.49799999999999</v>
      </c>
      <c r="I36" s="125">
        <f ca="1">AER_Assumptions!H112</f>
        <v>-35.280556959453357</v>
      </c>
      <c r="J36" s="125">
        <f ca="1">AER_Assumptions!I112</f>
        <v>-14.408789611386483</v>
      </c>
      <c r="K36" s="125">
        <f ca="1">AER_Assumptions!J112</f>
        <v>-5.8846355034531133</v>
      </c>
      <c r="L36" s="125">
        <f ca="1">AER_Assumptions!K112</f>
        <v>-2.4033201915263938</v>
      </c>
      <c r="M36" s="125">
        <f ca="1">AER_Assumptions!L112</f>
        <v>-0.98153028163071898</v>
      </c>
      <c r="N36" s="3"/>
    </row>
    <row r="37" spans="3:14" x14ac:dyDescent="0.25">
      <c r="C37" s="10" t="s">
        <v>195</v>
      </c>
      <c r="D37" s="239">
        <v>94.703000000000003</v>
      </c>
      <c r="E37" s="239">
        <v>0</v>
      </c>
      <c r="F37" s="239">
        <v>0</v>
      </c>
      <c r="G37" s="239">
        <v>-22493.195</v>
      </c>
      <c r="H37" s="239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3"/>
    </row>
    <row r="38" spans="3:14" x14ac:dyDescent="0.25">
      <c r="C38" s="10" t="s">
        <v>190</v>
      </c>
      <c r="D38" s="239">
        <v>-21.504999999999999</v>
      </c>
      <c r="E38" s="239">
        <v>-1.7000000000000001E-2</v>
      </c>
      <c r="F38" s="239">
        <v>0</v>
      </c>
      <c r="G38" s="239">
        <v>27.427</v>
      </c>
      <c r="H38" s="239">
        <v>75.296000000000006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3"/>
    </row>
    <row r="39" spans="3:14" x14ac:dyDescent="0.25">
      <c r="C39" s="4" t="s">
        <v>23</v>
      </c>
      <c r="D39" s="255">
        <v>-4052.61</v>
      </c>
      <c r="E39" s="255">
        <v>-2954.7429999999999</v>
      </c>
      <c r="F39" s="255">
        <v>-712.28800000000001</v>
      </c>
      <c r="G39" s="255">
        <v>-23458.936000000002</v>
      </c>
      <c r="H39" s="255">
        <v>-2160.4989999999998</v>
      </c>
      <c r="I39" s="125">
        <f ca="1">SUM(I34:I38)</f>
        <v>-3901.7165246394529</v>
      </c>
      <c r="J39" s="125">
        <f t="shared" ref="J39:M39" ca="1" si="1">SUM(J34:J38)</f>
        <v>-4128.8700818838606</v>
      </c>
      <c r="K39" s="125">
        <f t="shared" ca="1" si="1"/>
        <v>-866.29297849485499</v>
      </c>
      <c r="L39" s="125">
        <f t="shared" ca="1" si="1"/>
        <v>-999.08996154297836</v>
      </c>
      <c r="M39" s="125">
        <f t="shared" ca="1" si="1"/>
        <v>-1121.3787862100553</v>
      </c>
      <c r="N39" s="3"/>
    </row>
    <row r="40" spans="3:14" x14ac:dyDescent="0.25">
      <c r="C40" s="3"/>
      <c r="D40" s="239"/>
      <c r="E40" s="239"/>
      <c r="F40" s="239"/>
      <c r="G40" s="239"/>
      <c r="H40" s="239"/>
      <c r="I40" s="125"/>
      <c r="J40" s="125"/>
      <c r="K40" s="125"/>
      <c r="L40" s="125"/>
      <c r="M40" s="125"/>
      <c r="N40" s="3"/>
    </row>
    <row r="41" spans="3:14" x14ac:dyDescent="0.25">
      <c r="C41" s="234" t="s">
        <v>24</v>
      </c>
      <c r="D41" s="239"/>
      <c r="E41" s="239"/>
      <c r="F41" s="239"/>
      <c r="G41" s="239"/>
      <c r="H41" s="239"/>
      <c r="I41" s="125"/>
      <c r="J41" s="125"/>
      <c r="K41" s="125"/>
      <c r="L41" s="125"/>
      <c r="M41" s="125"/>
      <c r="N41" s="3"/>
    </row>
    <row r="42" spans="3:14" x14ac:dyDescent="0.25">
      <c r="C42" s="10" t="s">
        <v>196</v>
      </c>
      <c r="D42" s="239">
        <v>5589.8249999999998</v>
      </c>
      <c r="E42" s="239">
        <v>6539.31</v>
      </c>
      <c r="F42" s="239">
        <v>10946.333000000001</v>
      </c>
      <c r="G42" s="239">
        <v>26496.66</v>
      </c>
      <c r="H42" s="239">
        <v>467.99599999999998</v>
      </c>
      <c r="I42" s="125">
        <f ca="1">AER_Debt!D69</f>
        <v>5546.07</v>
      </c>
      <c r="J42" s="125">
        <f ca="1">AER_Debt!E69</f>
        <v>7509.42</v>
      </c>
      <c r="K42" s="125">
        <f ca="1">AER_Debt!F69</f>
        <v>4665.84</v>
      </c>
      <c r="L42" s="125">
        <f ca="1">AER_Debt!G69</f>
        <v>6033.6</v>
      </c>
      <c r="M42" s="125">
        <f ca="1">AER_Debt!H69</f>
        <v>2135.6</v>
      </c>
      <c r="N42" s="3"/>
    </row>
    <row r="43" spans="3:14" x14ac:dyDescent="0.25">
      <c r="C43" s="10" t="s">
        <v>197</v>
      </c>
      <c r="D43" s="239">
        <v>-4360.5200000000004</v>
      </c>
      <c r="E43" s="239">
        <v>-6504.83</v>
      </c>
      <c r="F43" s="239">
        <v>-11560.014999999999</v>
      </c>
      <c r="G43" s="239">
        <v>-5973.5079999999998</v>
      </c>
      <c r="H43" s="239">
        <v>-4230.0820000000003</v>
      </c>
      <c r="I43" s="125">
        <f>AER_Debt!D70</f>
        <v>-6162.3</v>
      </c>
      <c r="J43" s="125">
        <f>AER_Debt!E70</f>
        <v>-8343.7999999999993</v>
      </c>
      <c r="K43" s="125">
        <f>AER_Debt!F70</f>
        <v>-5832.3</v>
      </c>
      <c r="L43" s="125">
        <f>AER_Debt!G70</f>
        <v>-7542</v>
      </c>
      <c r="M43" s="125">
        <f>AER_Debt!H70</f>
        <v>-2669.5</v>
      </c>
      <c r="N43" s="3"/>
    </row>
    <row r="44" spans="3:14" x14ac:dyDescent="0.25">
      <c r="C44" s="10" t="s">
        <v>198</v>
      </c>
      <c r="D44" s="239">
        <v>-57.831000000000003</v>
      </c>
      <c r="E44" s="239">
        <v>-36.591999999999999</v>
      </c>
      <c r="F44" s="239">
        <v>-253.80600000000001</v>
      </c>
      <c r="G44" s="239">
        <v>-422.26</v>
      </c>
      <c r="H44" s="239">
        <v>0.379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3"/>
    </row>
    <row r="45" spans="3:14" x14ac:dyDescent="0.25">
      <c r="C45" s="10" t="s">
        <v>199</v>
      </c>
      <c r="D45" s="239">
        <v>743.25599999999997</v>
      </c>
      <c r="E45" s="239">
        <v>736.423</v>
      </c>
      <c r="F45" s="239">
        <v>345.69900000000001</v>
      </c>
      <c r="G45" s="239">
        <v>448.51600000000002</v>
      </c>
      <c r="H45" s="239">
        <v>779.82399999999996</v>
      </c>
      <c r="I45" s="125">
        <f ca="1">AER_Assumptions!H154</f>
        <v>803.39525403098662</v>
      </c>
      <c r="J45" s="125">
        <f ca="1">AER_Assumptions!I154</f>
        <v>854.89288981437301</v>
      </c>
      <c r="K45" s="125">
        <f ca="1">AER_Assumptions!J154</f>
        <v>897.63753430509166</v>
      </c>
      <c r="L45" s="125">
        <f ca="1">AER_Assumptions!K154</f>
        <v>942.5194110203463</v>
      </c>
      <c r="M45" s="125">
        <f ca="1">AER_Assumptions!L154</f>
        <v>989.64538157136371</v>
      </c>
      <c r="N45" s="3"/>
    </row>
    <row r="46" spans="3:14" x14ac:dyDescent="0.25">
      <c r="C46" s="10" t="s">
        <v>200</v>
      </c>
      <c r="D46" s="239">
        <v>-459.32600000000002</v>
      </c>
      <c r="E46" s="239">
        <v>-352.03199999999998</v>
      </c>
      <c r="F46" s="239">
        <v>-412.49200000000002</v>
      </c>
      <c r="G46" s="239">
        <v>-209.08699999999999</v>
      </c>
      <c r="H46" s="239">
        <v>-245.29400000000001</v>
      </c>
      <c r="I46" s="125">
        <f ca="1">AER_Assumptions!H160</f>
        <v>-448.00784146754074</v>
      </c>
      <c r="J46" s="125">
        <f ca="1">AER_Assumptions!I160</f>
        <v>-476.72514410561013</v>
      </c>
      <c r="K46" s="125">
        <f ca="1">AER_Assumptions!J160</f>
        <v>-500.56140131089063</v>
      </c>
      <c r="L46" s="125">
        <f ca="1">AER_Assumptions!K160</f>
        <v>-525.5894713764352</v>
      </c>
      <c r="M46" s="125">
        <f ca="1">AER_Assumptions!L160</f>
        <v>-551.868944945257</v>
      </c>
      <c r="N46" s="3"/>
    </row>
    <row r="47" spans="3:14" x14ac:dyDescent="0.25">
      <c r="C47" s="10" t="s">
        <v>201</v>
      </c>
      <c r="D47" s="239">
        <v>208.25899999999999</v>
      </c>
      <c r="E47" s="239">
        <v>232.21899999999999</v>
      </c>
      <c r="F47" s="239">
        <v>137.13</v>
      </c>
      <c r="G47" s="239">
        <v>210.78100000000001</v>
      </c>
      <c r="H47" s="239">
        <v>332.822</v>
      </c>
      <c r="I47" s="125">
        <f ca="1">AER_Assumptions!H142</f>
        <v>315.62334080634179</v>
      </c>
      <c r="J47" s="125">
        <f ca="1">AER_Assumptions!I142</f>
        <v>335.85479695202832</v>
      </c>
      <c r="K47" s="125">
        <f ca="1">AER_Assumptions!J142</f>
        <v>352.64753679962973</v>
      </c>
      <c r="L47" s="125">
        <f ca="1">AER_Assumptions!K142</f>
        <v>370.27991363961127</v>
      </c>
      <c r="M47" s="125">
        <f ca="1">AER_Assumptions!L142</f>
        <v>388.79390932159185</v>
      </c>
      <c r="N47" s="3"/>
    </row>
    <row r="48" spans="3:14" x14ac:dyDescent="0.25">
      <c r="C48" s="10" t="s">
        <v>202</v>
      </c>
      <c r="D48" s="239">
        <v>-220.452</v>
      </c>
      <c r="E48" s="239">
        <v>-233.22200000000001</v>
      </c>
      <c r="F48" s="239">
        <v>-297.46899999999999</v>
      </c>
      <c r="G48" s="239">
        <v>-290.75799999999998</v>
      </c>
      <c r="H48" s="239">
        <v>-245.084</v>
      </c>
      <c r="I48" s="125">
        <f ca="1">AER_Assumptions!H148</f>
        <v>-446.43893002347153</v>
      </c>
      <c r="J48" s="125">
        <f ca="1">AER_Assumptions!I148</f>
        <v>-475.05566543797613</v>
      </c>
      <c r="K48" s="125">
        <f ca="1">AER_Assumptions!J148</f>
        <v>-498.80844870987494</v>
      </c>
      <c r="L48" s="125">
        <f ca="1">AER_Assumptions!K148</f>
        <v>-523.74887114536875</v>
      </c>
      <c r="M48" s="125">
        <f ca="1">AER_Assumptions!L148</f>
        <v>-549.93631470263722</v>
      </c>
      <c r="N48" s="3"/>
    </row>
    <row r="49" spans="3:14" x14ac:dyDescent="0.25">
      <c r="C49" s="10" t="s">
        <v>203</v>
      </c>
      <c r="D49" s="239">
        <v>-8.4030000000000005</v>
      </c>
      <c r="E49" s="239">
        <v>-6.3410000000000002</v>
      </c>
      <c r="F49" s="239">
        <v>-2.9350000000000001</v>
      </c>
      <c r="G49" s="239">
        <v>-0.32300000000000001</v>
      </c>
      <c r="H49" s="239">
        <v>-3.9569999999999999</v>
      </c>
      <c r="I49" s="125">
        <f ca="1">-AER_Assumptions!H88</f>
        <v>-8.0759565775999995</v>
      </c>
      <c r="J49" s="125">
        <f ca="1">-AER_Assumptions!I88</f>
        <v>-8.5172878416226805</v>
      </c>
      <c r="K49" s="125">
        <f ca="1">-AER_Assumptions!J88</f>
        <v>-8.7763063965826813</v>
      </c>
      <c r="L49" s="125">
        <f ca="1">-AER_Assumptions!K88</f>
        <v>-9.0767782303216809</v>
      </c>
      <c r="M49" s="125">
        <f ca="1">-AER_Assumptions!L88</f>
        <v>-9.4150755365724308</v>
      </c>
      <c r="N49" s="3"/>
    </row>
    <row r="50" spans="3:14" x14ac:dyDescent="0.25">
      <c r="C50" s="10" t="s">
        <v>204</v>
      </c>
      <c r="D50" s="239">
        <v>-834.39800000000002</v>
      </c>
      <c r="E50" s="239">
        <v>-639.94100000000003</v>
      </c>
      <c r="F50" s="239">
        <v>-127.777</v>
      </c>
      <c r="G50" s="239">
        <v>-76.22</v>
      </c>
      <c r="H50" s="239">
        <v>-17.419</v>
      </c>
      <c r="I50" s="125">
        <f ca="1">-AER_Assumptions!H64</f>
        <v>-1254.7515365000002</v>
      </c>
      <c r="J50" s="125">
        <f ca="1">-AER_Assumptions!I64</f>
        <v>-627.37576825000008</v>
      </c>
      <c r="K50" s="125">
        <f ca="1">-AER_Assumptions!J64</f>
        <v>-564.63819142500006</v>
      </c>
      <c r="L50" s="125">
        <f ca="1">-AER_Assumptions!K64</f>
        <v>-508.17437228250009</v>
      </c>
      <c r="M50" s="125">
        <f ca="1">-AER_Assumptions!L64</f>
        <v>-457.35693505425007</v>
      </c>
      <c r="N50" s="3"/>
    </row>
    <row r="51" spans="3:14" x14ac:dyDescent="0.25">
      <c r="C51" s="4" t="s">
        <v>25</v>
      </c>
      <c r="D51" s="255">
        <v>600.41</v>
      </c>
      <c r="E51" s="255">
        <v>-265.00599999999997</v>
      </c>
      <c r="F51" s="255">
        <v>-1225.3320000000001</v>
      </c>
      <c r="G51" s="255">
        <v>20183.800999999999</v>
      </c>
      <c r="H51" s="255">
        <v>-3160.8150000000001</v>
      </c>
      <c r="I51" s="246">
        <f ca="1">SUM(I42:I50)</f>
        <v>-1654.4856697312844</v>
      </c>
      <c r="J51" s="246">
        <f t="shared" ref="J51:M51" ca="1" si="2">SUM(J42:J50)</f>
        <v>-1231.3061788688069</v>
      </c>
      <c r="K51" s="246">
        <f t="shared" ca="1" si="2"/>
        <v>-1488.9592767376269</v>
      </c>
      <c r="L51" s="246">
        <f t="shared" ca="1" si="2"/>
        <v>-1762.1901683746678</v>
      </c>
      <c r="M51" s="246">
        <f t="shared" ca="1" si="2"/>
        <v>-724.03797934576119</v>
      </c>
      <c r="N51" s="3"/>
    </row>
    <row r="52" spans="3:14" x14ac:dyDescent="0.25">
      <c r="C52" s="3"/>
      <c r="D52" s="239"/>
      <c r="E52" s="239"/>
      <c r="F52" s="239"/>
      <c r="G52" s="239"/>
      <c r="H52" s="239"/>
      <c r="I52" s="125"/>
      <c r="J52" s="125"/>
      <c r="K52" s="125"/>
      <c r="L52" s="125"/>
      <c r="M52" s="125"/>
      <c r="N52" s="3"/>
    </row>
    <row r="53" spans="3:14" x14ac:dyDescent="0.25">
      <c r="C53" s="3" t="s">
        <v>26</v>
      </c>
      <c r="D53" s="239"/>
      <c r="E53" s="239"/>
      <c r="F53" s="239"/>
      <c r="G53" s="239"/>
      <c r="H53" s="239"/>
      <c r="I53" s="125"/>
      <c r="J53" s="125"/>
      <c r="K53" s="125"/>
      <c r="L53" s="125"/>
      <c r="M53" s="125"/>
      <c r="N53" s="3"/>
    </row>
    <row r="54" spans="3:14" x14ac:dyDescent="0.25">
      <c r="C54" s="3" t="s">
        <v>205</v>
      </c>
      <c r="D54" s="239">
        <v>2.738</v>
      </c>
      <c r="E54" s="239">
        <v>-0.621</v>
      </c>
      <c r="F54" s="239">
        <v>2.1800000000000002</v>
      </c>
      <c r="G54" s="239">
        <v>0.77600000000000002</v>
      </c>
      <c r="H54" s="239">
        <v>-7.6310000000000002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3"/>
    </row>
    <row r="55" spans="3:14" x14ac:dyDescent="0.25">
      <c r="C55" s="4" t="s">
        <v>27</v>
      </c>
      <c r="D55" s="255">
        <f>D31+D39+D51+D54</f>
        <v>-609.09000000000026</v>
      </c>
      <c r="E55" s="255">
        <f t="shared" ref="E55:H55" si="3">E31+E39+E51+E54</f>
        <v>-114.68800000000012</v>
      </c>
      <c r="F55" s="255">
        <f t="shared" si="3"/>
        <v>194.9429999999997</v>
      </c>
      <c r="G55" s="255">
        <f>G31+G39+G51+G54</f>
        <v>419.46299999999809</v>
      </c>
      <c r="H55" s="255">
        <f t="shared" si="3"/>
        <v>-157.98299999999941</v>
      </c>
      <c r="I55" s="246">
        <f ca="1">I51+I39+I31</f>
        <v>-178.40140344735664</v>
      </c>
      <c r="J55" s="246">
        <f t="shared" ref="J55:M55" ca="1" si="4">J51+J39+J31</f>
        <v>-36.372085693365989</v>
      </c>
      <c r="K55" s="246">
        <f t="shared" ca="1" si="4"/>
        <v>3212.3521659830576</v>
      </c>
      <c r="L55" s="246">
        <f t="shared" ca="1" si="4"/>
        <v>3192.8918022982034</v>
      </c>
      <c r="M55" s="246">
        <f t="shared" ca="1" si="4"/>
        <v>4479.1210755979519</v>
      </c>
      <c r="N55" s="3"/>
    </row>
    <row r="56" spans="3:14" x14ac:dyDescent="0.25">
      <c r="D56" s="3"/>
      <c r="E56" s="3"/>
      <c r="F56" s="241"/>
      <c r="G56" s="3"/>
      <c r="H56" s="3"/>
      <c r="I56" s="3"/>
      <c r="J56" s="3"/>
      <c r="K56" s="3"/>
      <c r="L56" s="3"/>
      <c r="M56" s="3"/>
      <c r="N56" s="3"/>
    </row>
  </sheetData>
  <mergeCells count="2">
    <mergeCell ref="D6:H6"/>
    <mergeCell ref="I8:M8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Cover</vt:lpstr>
      <vt:lpstr>Assumptions&gt;&gt;</vt:lpstr>
      <vt:lpstr>AER_Assumptions</vt:lpstr>
      <vt:lpstr>Financials&gt;&gt;</vt:lpstr>
      <vt:lpstr>AER_Hist_IS</vt:lpstr>
      <vt:lpstr>AER_IS</vt:lpstr>
      <vt:lpstr>AER_BS</vt:lpstr>
      <vt:lpstr>AER_Proj_BS</vt:lpstr>
      <vt:lpstr>AER_CF</vt:lpstr>
      <vt:lpstr>AER_Debt</vt:lpstr>
      <vt:lpstr>AER_Equity</vt:lpstr>
      <vt:lpstr>Valuation&gt;&gt;</vt:lpstr>
      <vt:lpstr>AER_Proj_CF</vt:lpstr>
      <vt:lpstr>AER_WACC</vt:lpstr>
      <vt:lpstr>AER_NWC</vt:lpstr>
      <vt:lpstr>AER_DCF</vt:lpstr>
      <vt:lpstr>AER_Assumptions!Print_Area</vt:lpstr>
      <vt:lpstr>AER_BS!Print_Area</vt:lpstr>
      <vt:lpstr>AER_CF!Print_Area</vt:lpstr>
      <vt:lpstr>AER_DCF!Print_Area</vt:lpstr>
      <vt:lpstr>AER_Hist_IS!Print_Area</vt:lpstr>
      <vt:lpstr>AER_IS!Print_Area</vt:lpstr>
      <vt:lpstr>AER_NWC!Print_Area</vt:lpstr>
      <vt:lpstr>AER_Proj_BS!Print_Area</vt:lpstr>
      <vt:lpstr>AER_Proj_CF!Print_Area</vt:lpstr>
      <vt:lpstr>AER_WACC!Print_Area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McGarrity</dc:creator>
  <cp:lastModifiedBy>Nolan Horan</cp:lastModifiedBy>
  <dcterms:created xsi:type="dcterms:W3CDTF">2023-02-02T15:28:02Z</dcterms:created>
  <dcterms:modified xsi:type="dcterms:W3CDTF">2023-10-24T03:39:11Z</dcterms:modified>
</cp:coreProperties>
</file>