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8_{2ECFC827-E2B9-4FDD-A2EB-2A55866DFDB5}" xr6:coauthVersionLast="47" xr6:coauthVersionMax="47" xr10:uidLastSave="{00000000-0000-0000-0000-000000000000}"/>
  <bookViews>
    <workbookView xWindow="-110" yWindow="-110" windowWidth="19420" windowHeight="10300" firstSheet="3" activeTab="9" xr2:uid="{00000000-000D-0000-FFFF-FFFF00000000}"/>
  </bookViews>
  <sheets>
    <sheet name="Title" sheetId="12" r:id="rId1"/>
    <sheet name="Master" sheetId="15" r:id="rId2"/>
    <sheet name="Historical Data&gt;&gt;" sheetId="13" r:id="rId3"/>
    <sheet name="Income Statement" sheetId="1" r:id="rId4"/>
    <sheet name="Balance Sheet" sheetId="2" r:id="rId5"/>
    <sheet name="Cash Flow" sheetId="10" r:id="rId6"/>
    <sheet name="Valuation&gt;&gt;" sheetId="14" r:id="rId7"/>
    <sheet name="Drivers" sheetId="3" r:id="rId8"/>
    <sheet name="NWC Build" sheetId="5" r:id="rId9"/>
    <sheet name="DCF" sheetId="6" r:id="rId10"/>
    <sheet name="COMPS" sheetId="7" r:id="rId11"/>
  </sheets>
  <definedNames>
    <definedName name="_xlnm.Print_Titles" localSheetId="4">'Balance Sheet'!$1:$3</definedName>
    <definedName name="_xlnm.Print_Titles" localSheetId="5">'Cash Flow'!$1:$3</definedName>
    <definedName name="_xlnm.Print_Titles" localSheetId="3">'Income Statement'!$1:$3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3" l="1"/>
  <c r="G55" i="3"/>
  <c r="H55" i="3"/>
  <c r="E55" i="3"/>
  <c r="D32" i="6"/>
  <c r="E32" i="6"/>
  <c r="F32" i="6"/>
  <c r="G32" i="6"/>
  <c r="C32" i="6"/>
  <c r="C4" i="6"/>
  <c r="E29" i="7" l="1"/>
  <c r="F29" i="7"/>
  <c r="G29" i="7"/>
  <c r="H29" i="7"/>
  <c r="I29" i="7"/>
  <c r="J29" i="7"/>
  <c r="K29" i="7"/>
  <c r="L29" i="7"/>
  <c r="D29" i="7"/>
  <c r="E27" i="7"/>
  <c r="F27" i="7"/>
  <c r="G27" i="7"/>
  <c r="H27" i="7"/>
  <c r="I27" i="7"/>
  <c r="J27" i="7"/>
  <c r="K27" i="7"/>
  <c r="L27" i="7"/>
  <c r="D27" i="7"/>
  <c r="E26" i="7"/>
  <c r="F26" i="7"/>
  <c r="G26" i="7"/>
  <c r="H26" i="7"/>
  <c r="I26" i="7"/>
  <c r="J26" i="7"/>
  <c r="K26" i="7"/>
  <c r="L26" i="7"/>
  <c r="D26" i="7"/>
  <c r="D25" i="7"/>
  <c r="E24" i="7"/>
  <c r="F24" i="7"/>
  <c r="G24" i="7"/>
  <c r="H24" i="7"/>
  <c r="I24" i="7"/>
  <c r="J24" i="7"/>
  <c r="K24" i="7"/>
  <c r="L24" i="7"/>
  <c r="D24" i="7"/>
  <c r="C4" i="7"/>
  <c r="C3" i="7"/>
  <c r="C3" i="6"/>
  <c r="D6" i="3" l="1"/>
  <c r="E6" i="3" s="1"/>
  <c r="D9" i="15"/>
  <c r="C6" i="15"/>
  <c r="I44" i="7"/>
  <c r="I42" i="7"/>
  <c r="I41" i="7"/>
  <c r="I40" i="7"/>
  <c r="F42" i="7"/>
  <c r="C42" i="7"/>
  <c r="F41" i="7"/>
  <c r="C41" i="7"/>
  <c r="F44" i="7"/>
  <c r="C44" i="7"/>
  <c r="F40" i="7"/>
  <c r="C40" i="7"/>
  <c r="D3" i="6" l="1"/>
  <c r="D3" i="7"/>
  <c r="I43" i="7"/>
  <c r="I45" i="7" s="1"/>
  <c r="I46" i="7" s="1"/>
  <c r="F43" i="7"/>
  <c r="F45" i="7" s="1"/>
  <c r="F46" i="7" s="1"/>
  <c r="C43" i="7"/>
  <c r="C45" i="7" s="1"/>
  <c r="C46" i="7" s="1"/>
  <c r="E28" i="7" l="1"/>
  <c r="F28" i="7"/>
  <c r="G28" i="7"/>
  <c r="H28" i="7"/>
  <c r="I28" i="7"/>
  <c r="J28" i="7"/>
  <c r="K28" i="7"/>
  <c r="L28" i="7"/>
  <c r="D28" i="7"/>
  <c r="E25" i="7"/>
  <c r="F25" i="7"/>
  <c r="G25" i="7"/>
  <c r="H25" i="7"/>
  <c r="I25" i="7"/>
  <c r="J25" i="7"/>
  <c r="K25" i="7"/>
  <c r="L25" i="7"/>
  <c r="S17" i="6"/>
  <c r="P17" i="6"/>
  <c r="J32" i="3"/>
  <c r="D50" i="6"/>
  <c r="D49" i="6"/>
  <c r="D46" i="6"/>
  <c r="D43" i="6"/>
  <c r="D51" i="6" l="1"/>
  <c r="S18" i="6" l="1"/>
  <c r="P18" i="6"/>
  <c r="H48" i="3"/>
  <c r="C12" i="5"/>
  <c r="D12" i="5"/>
  <c r="E12" i="5"/>
  <c r="F12" i="5"/>
  <c r="G12" i="5"/>
  <c r="H12" i="5"/>
  <c r="D19" i="5"/>
  <c r="E19" i="5"/>
  <c r="F19" i="5"/>
  <c r="G19" i="5"/>
  <c r="H19" i="5"/>
  <c r="D20" i="5"/>
  <c r="E20" i="5"/>
  <c r="F20" i="5"/>
  <c r="G20" i="5"/>
  <c r="H20" i="5"/>
  <c r="C20" i="5"/>
  <c r="C19" i="5"/>
  <c r="D16" i="5"/>
  <c r="E16" i="5"/>
  <c r="F16" i="5"/>
  <c r="G16" i="5"/>
  <c r="H16" i="5"/>
  <c r="D17" i="5"/>
  <c r="E17" i="5"/>
  <c r="F17" i="5"/>
  <c r="G17" i="5"/>
  <c r="H17" i="5"/>
  <c r="D18" i="5"/>
  <c r="E18" i="5"/>
  <c r="F18" i="5"/>
  <c r="G18" i="5"/>
  <c r="H18" i="5"/>
  <c r="C17" i="5"/>
  <c r="C18" i="5"/>
  <c r="C16" i="5"/>
  <c r="D10" i="5"/>
  <c r="E10" i="5"/>
  <c r="F10" i="5"/>
  <c r="G10" i="5"/>
  <c r="H10" i="5"/>
  <c r="D11" i="5"/>
  <c r="E11" i="5"/>
  <c r="F11" i="5"/>
  <c r="G11" i="5"/>
  <c r="H11" i="5"/>
  <c r="C11" i="5"/>
  <c r="C10" i="5"/>
  <c r="D9" i="5"/>
  <c r="E9" i="5"/>
  <c r="F9" i="5"/>
  <c r="G9" i="5"/>
  <c r="H9" i="5"/>
  <c r="C9" i="5"/>
  <c r="S20" i="6"/>
  <c r="P20" i="6"/>
  <c r="E12" i="3"/>
  <c r="F12" i="3"/>
  <c r="G12" i="3"/>
  <c r="H12" i="3"/>
  <c r="I12" i="3" s="1"/>
  <c r="D12" i="3"/>
  <c r="D13" i="3" s="1"/>
  <c r="I47" i="3"/>
  <c r="H16" i="6" s="1"/>
  <c r="I31" i="3"/>
  <c r="H13" i="6" s="1"/>
  <c r="I13" i="6" s="1"/>
  <c r="I37" i="3"/>
  <c r="H14" i="6" s="1"/>
  <c r="I42" i="3"/>
  <c r="H15" i="6" s="1"/>
  <c r="I53" i="3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C17" i="6"/>
  <c r="C16" i="6"/>
  <c r="C15" i="6"/>
  <c r="C14" i="6"/>
  <c r="C13" i="6"/>
  <c r="N54" i="3"/>
  <c r="M54" i="3"/>
  <c r="L54" i="3"/>
  <c r="K54" i="3"/>
  <c r="J54" i="3"/>
  <c r="N49" i="3"/>
  <c r="M49" i="3"/>
  <c r="L49" i="3"/>
  <c r="K49" i="3"/>
  <c r="J49" i="3"/>
  <c r="F49" i="3"/>
  <c r="G49" i="3"/>
  <c r="H49" i="3"/>
  <c r="E49" i="3"/>
  <c r="E48" i="3"/>
  <c r="N43" i="3"/>
  <c r="M43" i="3"/>
  <c r="L43" i="3"/>
  <c r="K43" i="3"/>
  <c r="J43" i="3"/>
  <c r="N38" i="3"/>
  <c r="M38" i="3"/>
  <c r="L38" i="3"/>
  <c r="K38" i="3"/>
  <c r="J38" i="3"/>
  <c r="N32" i="3"/>
  <c r="M32" i="3"/>
  <c r="L32" i="3"/>
  <c r="K32" i="3"/>
  <c r="H54" i="3"/>
  <c r="G54" i="3"/>
  <c r="F54" i="3"/>
  <c r="E54" i="3"/>
  <c r="G48" i="3"/>
  <c r="F48" i="3"/>
  <c r="H43" i="3"/>
  <c r="G43" i="3"/>
  <c r="F43" i="3"/>
  <c r="E43" i="3"/>
  <c r="H38" i="3"/>
  <c r="G38" i="3"/>
  <c r="F38" i="3"/>
  <c r="E38" i="3"/>
  <c r="F32" i="3"/>
  <c r="G32" i="3"/>
  <c r="H32" i="3"/>
  <c r="E32" i="3"/>
  <c r="E29" i="3"/>
  <c r="D11" i="6" s="1"/>
  <c r="F29" i="3"/>
  <c r="E11" i="6" s="1"/>
  <c r="G29" i="3"/>
  <c r="F11" i="6" s="1"/>
  <c r="H29" i="3"/>
  <c r="G11" i="6" s="1"/>
  <c r="G19" i="6" s="1"/>
  <c r="G20" i="6" s="1"/>
  <c r="I29" i="3"/>
  <c r="D29" i="3"/>
  <c r="C11" i="6" s="1"/>
  <c r="C19" i="6" s="1"/>
  <c r="C20" i="6" s="1"/>
  <c r="E22" i="3"/>
  <c r="E23" i="3" s="1"/>
  <c r="F22" i="3"/>
  <c r="F23" i="3" s="1"/>
  <c r="G22" i="3"/>
  <c r="G23" i="3" s="1"/>
  <c r="H22" i="3"/>
  <c r="H23" i="3" s="1"/>
  <c r="D22" i="3"/>
  <c r="D23" i="3" s="1"/>
  <c r="E17" i="3"/>
  <c r="E18" i="3" s="1"/>
  <c r="F17" i="3"/>
  <c r="F18" i="3" s="1"/>
  <c r="G17" i="3"/>
  <c r="G18" i="3" s="1"/>
  <c r="H17" i="3"/>
  <c r="H18" i="3" s="1"/>
  <c r="D17" i="3"/>
  <c r="D18" i="3" s="1"/>
  <c r="D10" i="3"/>
  <c r="E10" i="3"/>
  <c r="F10" i="3"/>
  <c r="G10" i="3"/>
  <c r="H10" i="3"/>
  <c r="I10" i="3"/>
  <c r="J10" i="3"/>
  <c r="K10" i="3"/>
  <c r="L10" i="3"/>
  <c r="M10" i="3"/>
  <c r="N10" i="3"/>
  <c r="H9" i="6"/>
  <c r="H10" i="6" s="1"/>
  <c r="D7" i="6"/>
  <c r="E9" i="3" s="1"/>
  <c r="E7" i="6"/>
  <c r="F9" i="3" s="1"/>
  <c r="F7" i="6"/>
  <c r="G9" i="3" s="1"/>
  <c r="G7" i="6"/>
  <c r="H9" i="3" s="1"/>
  <c r="H7" i="6"/>
  <c r="I9" i="3" s="1"/>
  <c r="I7" i="6"/>
  <c r="J9" i="3" s="1"/>
  <c r="J7" i="6"/>
  <c r="K9" i="3" s="1"/>
  <c r="K7" i="6"/>
  <c r="L9" i="3" s="1"/>
  <c r="L7" i="6"/>
  <c r="M9" i="3" s="1"/>
  <c r="M7" i="6"/>
  <c r="N9" i="3" s="1"/>
  <c r="C7" i="6"/>
  <c r="D9" i="3" s="1"/>
  <c r="H17" i="6" l="1"/>
  <c r="I17" i="6" s="1"/>
  <c r="J17" i="6" s="1"/>
  <c r="K17" i="6" s="1"/>
  <c r="L17" i="6" s="1"/>
  <c r="M17" i="6" s="1"/>
  <c r="I55" i="3"/>
  <c r="D28" i="5"/>
  <c r="D31" i="5" s="1"/>
  <c r="D19" i="6"/>
  <c r="D20" i="6" s="1"/>
  <c r="F28" i="5"/>
  <c r="F35" i="5" s="1"/>
  <c r="F19" i="6"/>
  <c r="F20" i="6" s="1"/>
  <c r="E28" i="5"/>
  <c r="E32" i="5" s="1"/>
  <c r="E19" i="6"/>
  <c r="E20" i="6" s="1"/>
  <c r="G13" i="5"/>
  <c r="E21" i="5"/>
  <c r="D21" i="5"/>
  <c r="D23" i="5" s="1"/>
  <c r="D13" i="5"/>
  <c r="F36" i="5"/>
  <c r="I48" i="3"/>
  <c r="G12" i="6"/>
  <c r="I22" i="3"/>
  <c r="I23" i="3" s="1"/>
  <c r="J26" i="3" s="1"/>
  <c r="C23" i="6"/>
  <c r="C29" i="6" s="1"/>
  <c r="G28" i="5"/>
  <c r="G35" i="5" s="1"/>
  <c r="I17" i="3"/>
  <c r="I18" i="3" s="1"/>
  <c r="J20" i="3" s="1"/>
  <c r="K20" i="3" s="1"/>
  <c r="L20" i="3" s="1"/>
  <c r="F34" i="5"/>
  <c r="C28" i="5"/>
  <c r="C31" i="5" s="1"/>
  <c r="F13" i="5"/>
  <c r="F31" i="5"/>
  <c r="E31" i="5"/>
  <c r="F29" i="5"/>
  <c r="H21" i="5"/>
  <c r="G21" i="5"/>
  <c r="G23" i="5" s="1"/>
  <c r="F21" i="5"/>
  <c r="C21" i="5"/>
  <c r="E13" i="5"/>
  <c r="E23" i="5" s="1"/>
  <c r="F23" i="5"/>
  <c r="C13" i="5"/>
  <c r="H13" i="5"/>
  <c r="G30" i="6"/>
  <c r="F30" i="6"/>
  <c r="D30" i="6"/>
  <c r="C30" i="6"/>
  <c r="E30" i="6"/>
  <c r="I10" i="6"/>
  <c r="M10" i="6"/>
  <c r="L10" i="6"/>
  <c r="K10" i="6"/>
  <c r="J10" i="6"/>
  <c r="C21" i="6"/>
  <c r="C22" i="6" s="1"/>
  <c r="F23" i="6"/>
  <c r="F29" i="6" s="1"/>
  <c r="G23" i="6"/>
  <c r="E23" i="6"/>
  <c r="D23" i="6"/>
  <c r="I16" i="6"/>
  <c r="F12" i="6"/>
  <c r="I15" i="6"/>
  <c r="J15" i="6" s="1"/>
  <c r="K15" i="6" s="1"/>
  <c r="L15" i="6" s="1"/>
  <c r="M15" i="6" s="1"/>
  <c r="I14" i="6"/>
  <c r="J14" i="6" s="1"/>
  <c r="K14" i="6" s="1"/>
  <c r="L14" i="6" s="1"/>
  <c r="M14" i="6" s="1"/>
  <c r="E12" i="6"/>
  <c r="D12" i="6"/>
  <c r="H13" i="3"/>
  <c r="G21" i="6" s="1"/>
  <c r="G22" i="6" s="1"/>
  <c r="I13" i="3"/>
  <c r="E13" i="3"/>
  <c r="D21" i="6" s="1"/>
  <c r="D22" i="6" s="1"/>
  <c r="G13" i="3"/>
  <c r="F21" i="6" s="1"/>
  <c r="F22" i="6" s="1"/>
  <c r="F13" i="3"/>
  <c r="E21" i="6" s="1"/>
  <c r="E22" i="6" s="1"/>
  <c r="F37" i="5" l="1"/>
  <c r="E34" i="5"/>
  <c r="F33" i="5"/>
  <c r="H11" i="6"/>
  <c r="H28" i="5" s="1"/>
  <c r="H31" i="5" s="1"/>
  <c r="E37" i="5"/>
  <c r="E29" i="5"/>
  <c r="E36" i="5"/>
  <c r="E30" i="5"/>
  <c r="F32" i="5"/>
  <c r="F30" i="5"/>
  <c r="D34" i="5"/>
  <c r="D33" i="5"/>
  <c r="D35" i="5"/>
  <c r="D30" i="5"/>
  <c r="D32" i="5"/>
  <c r="D36" i="5"/>
  <c r="D29" i="5"/>
  <c r="D37" i="5"/>
  <c r="E35" i="5"/>
  <c r="E33" i="5"/>
  <c r="G24" i="5"/>
  <c r="G31" i="6" s="1"/>
  <c r="C24" i="6"/>
  <c r="C25" i="6" s="1"/>
  <c r="G24" i="6"/>
  <c r="G25" i="6" s="1"/>
  <c r="J24" i="3"/>
  <c r="J19" i="3"/>
  <c r="K19" i="3" s="1"/>
  <c r="J21" i="3"/>
  <c r="K21" i="3" s="1"/>
  <c r="L21" i="3" s="1"/>
  <c r="M21" i="3" s="1"/>
  <c r="N21" i="3" s="1"/>
  <c r="C30" i="5"/>
  <c r="J25" i="3"/>
  <c r="G30" i="5"/>
  <c r="G34" i="5"/>
  <c r="G31" i="5"/>
  <c r="E24" i="6"/>
  <c r="E25" i="6" s="1"/>
  <c r="G33" i="5"/>
  <c r="G36" i="5"/>
  <c r="G32" i="5"/>
  <c r="G37" i="5"/>
  <c r="G29" i="5"/>
  <c r="C32" i="5"/>
  <c r="C34" i="5"/>
  <c r="C35" i="5"/>
  <c r="C37" i="5"/>
  <c r="C36" i="5"/>
  <c r="C33" i="5"/>
  <c r="C29" i="5"/>
  <c r="F24" i="5"/>
  <c r="F31" i="6" s="1"/>
  <c r="H23" i="5"/>
  <c r="H24" i="5" s="1"/>
  <c r="H31" i="6" s="1"/>
  <c r="C23" i="5"/>
  <c r="D24" i="5" s="1"/>
  <c r="D31" i="6" s="1"/>
  <c r="E24" i="5"/>
  <c r="E31" i="6" s="1"/>
  <c r="D24" i="6"/>
  <c r="D25" i="6" s="1"/>
  <c r="H30" i="6"/>
  <c r="F24" i="6"/>
  <c r="F25" i="6" s="1"/>
  <c r="J13" i="6"/>
  <c r="J16" i="6" s="1"/>
  <c r="D29" i="6"/>
  <c r="G29" i="6"/>
  <c r="E29" i="6"/>
  <c r="I11" i="6"/>
  <c r="H12" i="6"/>
  <c r="H21" i="6"/>
  <c r="H22" i="6" s="1"/>
  <c r="H23" i="6"/>
  <c r="H29" i="6" s="1"/>
  <c r="N14" i="3"/>
  <c r="N13" i="3" s="1"/>
  <c r="M14" i="3"/>
  <c r="M13" i="3" s="1"/>
  <c r="L14" i="3"/>
  <c r="L13" i="3" s="1"/>
  <c r="K14" i="3"/>
  <c r="K13" i="3" s="1"/>
  <c r="J14" i="3"/>
  <c r="J13" i="3" s="1"/>
  <c r="J23" i="3" l="1"/>
  <c r="K24" i="3" s="1"/>
  <c r="H19" i="6"/>
  <c r="H20" i="6" s="1"/>
  <c r="H33" i="5"/>
  <c r="H29" i="5"/>
  <c r="H32" i="5"/>
  <c r="H36" i="5"/>
  <c r="H37" i="5"/>
  <c r="H30" i="5"/>
  <c r="H34" i="5"/>
  <c r="I28" i="5"/>
  <c r="I19" i="5" s="1"/>
  <c r="I19" i="6"/>
  <c r="I20" i="6" s="1"/>
  <c r="C26" i="6"/>
  <c r="C28" i="6" s="1"/>
  <c r="C33" i="6" s="1"/>
  <c r="J18" i="3"/>
  <c r="I23" i="6" s="1"/>
  <c r="I29" i="6" s="1"/>
  <c r="G26" i="6"/>
  <c r="G28" i="6" s="1"/>
  <c r="G33" i="6" s="1"/>
  <c r="K26" i="3"/>
  <c r="E26" i="6"/>
  <c r="E28" i="6" s="1"/>
  <c r="E33" i="6" s="1"/>
  <c r="K25" i="3"/>
  <c r="K23" i="3" s="1"/>
  <c r="K13" i="6"/>
  <c r="K16" i="6" s="1"/>
  <c r="J11" i="6"/>
  <c r="H24" i="6"/>
  <c r="H25" i="6" s="1"/>
  <c r="F26" i="6"/>
  <c r="F28" i="6" s="1"/>
  <c r="F33" i="6" s="1"/>
  <c r="I30" i="6"/>
  <c r="D26" i="6"/>
  <c r="D28" i="6" s="1"/>
  <c r="D33" i="6" s="1"/>
  <c r="I21" i="6"/>
  <c r="I22" i="6" s="1"/>
  <c r="I12" i="6"/>
  <c r="L19" i="3"/>
  <c r="K18" i="3"/>
  <c r="I16" i="5" l="1"/>
  <c r="I17" i="5"/>
  <c r="I11" i="5"/>
  <c r="I18" i="5"/>
  <c r="I20" i="5"/>
  <c r="I12" i="5"/>
  <c r="I9" i="5"/>
  <c r="I10" i="5"/>
  <c r="J28" i="5"/>
  <c r="J19" i="5" s="1"/>
  <c r="J19" i="6"/>
  <c r="J20" i="6" s="1"/>
  <c r="L24" i="3"/>
  <c r="L25" i="3"/>
  <c r="L26" i="3"/>
  <c r="J23" i="6"/>
  <c r="J29" i="6" s="1"/>
  <c r="J30" i="6"/>
  <c r="J21" i="6"/>
  <c r="J22" i="6" s="1"/>
  <c r="J12" i="6"/>
  <c r="L13" i="6"/>
  <c r="K11" i="6"/>
  <c r="I24" i="6"/>
  <c r="I25" i="6" s="1"/>
  <c r="H26" i="6"/>
  <c r="H28" i="6" s="1"/>
  <c r="M19" i="3"/>
  <c r="L18" i="3"/>
  <c r="I21" i="5" l="1"/>
  <c r="I13" i="5"/>
  <c r="K21" i="6"/>
  <c r="K22" i="6" s="1"/>
  <c r="K19" i="6"/>
  <c r="K20" i="6" s="1"/>
  <c r="J10" i="5"/>
  <c r="J9" i="5"/>
  <c r="J20" i="5"/>
  <c r="J17" i="5"/>
  <c r="J11" i="5"/>
  <c r="J16" i="5"/>
  <c r="J12" i="5"/>
  <c r="J18" i="5"/>
  <c r="L23" i="3"/>
  <c r="M25" i="3" s="1"/>
  <c r="J24" i="6"/>
  <c r="J26" i="6" s="1"/>
  <c r="J28" i="6" s="1"/>
  <c r="K23" i="6"/>
  <c r="K29" i="6" s="1"/>
  <c r="M13" i="6"/>
  <c r="M16" i="6" s="1"/>
  <c r="M11" i="6" s="1"/>
  <c r="L16" i="6"/>
  <c r="L11" i="6" s="1"/>
  <c r="L19" i="6" s="1"/>
  <c r="L20" i="6" s="1"/>
  <c r="I26" i="6"/>
  <c r="I28" i="6" s="1"/>
  <c r="K28" i="5"/>
  <c r="K17" i="5" s="1"/>
  <c r="K12" i="6"/>
  <c r="H33" i="6"/>
  <c r="H34" i="6" s="1"/>
  <c r="N19" i="3"/>
  <c r="N18" i="3" s="1"/>
  <c r="M18" i="3"/>
  <c r="I23" i="5" l="1"/>
  <c r="I24" i="5" s="1"/>
  <c r="I31" i="6" s="1"/>
  <c r="I33" i="6" s="1"/>
  <c r="J13" i="5"/>
  <c r="J21" i="5"/>
  <c r="M28" i="5"/>
  <c r="M9" i="5" s="1"/>
  <c r="M19" i="6"/>
  <c r="M20" i="6" s="1"/>
  <c r="K30" i="6"/>
  <c r="M26" i="3"/>
  <c r="M24" i="3"/>
  <c r="H35" i="6"/>
  <c r="K19" i="5"/>
  <c r="M23" i="6"/>
  <c r="M29" i="6" s="1"/>
  <c r="L23" i="6"/>
  <c r="L29" i="6" s="1"/>
  <c r="K9" i="5"/>
  <c r="K10" i="5"/>
  <c r="K20" i="5"/>
  <c r="M12" i="6"/>
  <c r="M21" i="6"/>
  <c r="M22" i="6" s="1"/>
  <c r="J25" i="6"/>
  <c r="K24" i="6"/>
  <c r="K25" i="6" s="1"/>
  <c r="K18" i="5"/>
  <c r="K12" i="5"/>
  <c r="K16" i="5"/>
  <c r="L28" i="5"/>
  <c r="L12" i="6"/>
  <c r="L21" i="6"/>
  <c r="L22" i="6" s="1"/>
  <c r="K11" i="5"/>
  <c r="M10" i="5" l="1"/>
  <c r="M12" i="5"/>
  <c r="J23" i="5"/>
  <c r="J24" i="5" s="1"/>
  <c r="J31" i="6" s="1"/>
  <c r="J33" i="6" s="1"/>
  <c r="J34" i="6" s="1"/>
  <c r="J35" i="6" s="1"/>
  <c r="M19" i="5"/>
  <c r="M11" i="5"/>
  <c r="M17" i="5"/>
  <c r="M18" i="5"/>
  <c r="M16" i="5"/>
  <c r="M20" i="5"/>
  <c r="M23" i="3"/>
  <c r="N24" i="3" s="1"/>
  <c r="I34" i="6"/>
  <c r="I35" i="6" s="1"/>
  <c r="K13" i="5"/>
  <c r="L24" i="6"/>
  <c r="L26" i="6" s="1"/>
  <c r="L28" i="6" s="1"/>
  <c r="M24" i="6"/>
  <c r="M26" i="6" s="1"/>
  <c r="M28" i="6" s="1"/>
  <c r="S10" i="6"/>
  <c r="S12" i="6" s="1"/>
  <c r="K26" i="6"/>
  <c r="K28" i="6" s="1"/>
  <c r="K21" i="5"/>
  <c r="L11" i="5"/>
  <c r="L10" i="5"/>
  <c r="L19" i="5"/>
  <c r="L9" i="5"/>
  <c r="L20" i="5"/>
  <c r="L17" i="5"/>
  <c r="L16" i="5"/>
  <c r="L12" i="5"/>
  <c r="L18" i="5"/>
  <c r="N26" i="3" l="1"/>
  <c r="N25" i="3"/>
  <c r="M21" i="5"/>
  <c r="M13" i="5"/>
  <c r="L30" i="6"/>
  <c r="S13" i="6"/>
  <c r="K23" i="5"/>
  <c r="K24" i="5" s="1"/>
  <c r="K31" i="6" s="1"/>
  <c r="K33" i="6" s="1"/>
  <c r="L25" i="6"/>
  <c r="M25" i="6"/>
  <c r="L21" i="5"/>
  <c r="L13" i="5"/>
  <c r="N23" i="3" l="1"/>
  <c r="M30" i="6" s="1"/>
  <c r="M23" i="5"/>
  <c r="S15" i="6"/>
  <c r="K34" i="6"/>
  <c r="K35" i="6" s="1"/>
  <c r="L23" i="5"/>
  <c r="M24" i="5" l="1"/>
  <c r="M31" i="6" s="1"/>
  <c r="M33" i="6" s="1"/>
  <c r="M34" i="6" s="1"/>
  <c r="L24" i="5"/>
  <c r="L31" i="6" s="1"/>
  <c r="L33" i="6" s="1"/>
  <c r="L34" i="6" l="1"/>
  <c r="L35" i="6" s="1"/>
  <c r="M35" i="6"/>
  <c r="P10" i="6"/>
  <c r="S24" i="6" l="1"/>
  <c r="P12" i="6"/>
  <c r="P13" i="6" s="1"/>
  <c r="S14" i="6"/>
  <c r="S16" i="6" s="1"/>
  <c r="S19" i="6" s="1"/>
  <c r="S21" i="6" s="1"/>
  <c r="S22" i="6" s="1"/>
  <c r="P14" i="6"/>
  <c r="P15" i="6" l="1"/>
  <c r="P16" i="6" s="1"/>
  <c r="P24" i="6" s="1"/>
  <c r="P19" i="6" l="1"/>
  <c r="P21" i="6" s="1"/>
  <c r="P37" i="6" s="1"/>
  <c r="P38" i="6" s="1"/>
  <c r="S29" i="6" l="1"/>
  <c r="P22" i="6"/>
  <c r="C14" i="15" l="1"/>
  <c r="C15" i="15" s="1"/>
  <c r="S30" i="6"/>
</calcChain>
</file>

<file path=xl/sharedStrings.xml><?xml version="1.0" encoding="utf-8"?>
<sst xmlns="http://schemas.openxmlformats.org/spreadsheetml/2006/main" count="761" uniqueCount="394">
  <si>
    <t>Intercontinental Exchange, Inc. (NYSE:ICE) &gt; Financials &gt; Income Statement</t>
  </si>
  <si>
    <t>In Millions of the reported currency, except per share items.</t>
  </si>
  <si>
    <t>Template:</t>
  </si>
  <si>
    <t>Standard</t>
  </si>
  <si>
    <t> </t>
  </si>
  <si>
    <t>Restatement:</t>
  </si>
  <si>
    <t>Latest Filings</t>
  </si>
  <si>
    <t>Period Type:</t>
  </si>
  <si>
    <t>Annual</t>
  </si>
  <si>
    <t>Order:</t>
  </si>
  <si>
    <t>Latest on Right</t>
  </si>
  <si>
    <t>Currency:</t>
  </si>
  <si>
    <t>Reported Currency</t>
  </si>
  <si>
    <t>Conversion:</t>
  </si>
  <si>
    <t>Historical</t>
  </si>
  <si>
    <t>Units:</t>
  </si>
  <si>
    <t>S&amp;P Capital IQ (Default)</t>
  </si>
  <si>
    <t>Decimals:</t>
  </si>
  <si>
    <t>Capital IQ (Default)</t>
  </si>
  <si>
    <t>Source:</t>
  </si>
  <si>
    <t>Capital IQ &amp; Proprietary Data</t>
  </si>
  <si>
    <t>Income Statement</t>
  </si>
  <si>
    <t xml:space="preserve">For the Fiscal Period Ending
</t>
  </si>
  <si>
    <t>Reclassified
12 months
Dec-31-2018</t>
  </si>
  <si>
    <t>Reclassified
12 months
Dec-31-2019</t>
  </si>
  <si>
    <t>Reclassified
12 months
Dec-31-2020</t>
  </si>
  <si>
    <t>12 months
Dec-31-2021</t>
  </si>
  <si>
    <t>12 months
Dec-31-2022</t>
  </si>
  <si>
    <t>LTM
12 months
Jun-30-2023</t>
  </si>
  <si>
    <t>Currency</t>
  </si>
  <si>
    <t>USD</t>
  </si>
  <si>
    <t xml:space="preserve"> </t>
  </si>
  <si>
    <t>Revenue</t>
  </si>
  <si>
    <t>Other Revenue</t>
  </si>
  <si>
    <t>-</t>
  </si>
  <si>
    <t xml:space="preserve">  Total Revenue</t>
  </si>
  <si>
    <t>Cost Of Goods Sold</t>
  </si>
  <si>
    <t xml:space="preserve">  Gross Profit</t>
  </si>
  <si>
    <t>Selling General &amp; Admin Exp.</t>
  </si>
  <si>
    <t>R &amp; D Exp.</t>
  </si>
  <si>
    <t>Depreciation &amp; Amort.</t>
  </si>
  <si>
    <t>Other Operating Expense/(Income)</t>
  </si>
  <si>
    <t xml:space="preserve">  Other Operating Exp., Total</t>
  </si>
  <si>
    <t xml:space="preserve">  Operating Income</t>
  </si>
  <si>
    <t>Interest Expense</t>
  </si>
  <si>
    <t>Interest and Invest. Income</t>
  </si>
  <si>
    <t xml:space="preserve">  Net Interest Exp.</t>
  </si>
  <si>
    <t>Income/(Loss) from Affiliates</t>
  </si>
  <si>
    <t>Currency Exchange Gains (Loss)</t>
  </si>
  <si>
    <t>Other Non-Operating Inc. (Exp.)</t>
  </si>
  <si>
    <t xml:space="preserve">  EBT Excl. Unusual Items</t>
  </si>
  <si>
    <t>Restructuring Charges</t>
  </si>
  <si>
    <t>Merger &amp; Related Restruct. Charges</t>
  </si>
  <si>
    <t>Impairment of Goodwill</t>
  </si>
  <si>
    <t>Gain (Loss) On Sale Of Invest.</t>
  </si>
  <si>
    <t>Gain (Loss) On Sale Of Assets</t>
  </si>
  <si>
    <t>Legal Settlements</t>
  </si>
  <si>
    <t>Other Unusual Items</t>
  </si>
  <si>
    <t xml:space="preserve">  EBT Incl. Unusual Items</t>
  </si>
  <si>
    <t>Income Tax Expense</t>
  </si>
  <si>
    <t xml:space="preserve">  Earnings from Cont. Ops.</t>
  </si>
  <si>
    <t>Earnings of Discontinued Ops.</t>
  </si>
  <si>
    <t>Extraord. Item &amp; Account. Change</t>
  </si>
  <si>
    <t xml:space="preserve">  Net Income to Company</t>
  </si>
  <si>
    <t>Minority Int. in Earnings</t>
  </si>
  <si>
    <t xml:space="preserve">  Net Income</t>
  </si>
  <si>
    <t>Pref. Dividends and Other Adj.</t>
  </si>
  <si>
    <t xml:space="preserve">  NI to Common Incl Extra Items</t>
  </si>
  <si>
    <t xml:space="preserve">  NI to Common Excl. Extra Items</t>
  </si>
  <si>
    <t>Per Share Items</t>
  </si>
  <si>
    <t>Basic EPS</t>
  </si>
  <si>
    <t>Basic EPS Excl. Extra Items</t>
  </si>
  <si>
    <t>Weighted Avg. Basic Shares Out.</t>
  </si>
  <si>
    <t>Diluted EPS</t>
  </si>
  <si>
    <t>Diluted EPS Excl. Extra Items</t>
  </si>
  <si>
    <t>Weighted Avg. Diluted Shares Out.</t>
  </si>
  <si>
    <t>Normalized Basic EPS</t>
  </si>
  <si>
    <t>Normalized Diluted EPS</t>
  </si>
  <si>
    <t>Dividends per Share</t>
  </si>
  <si>
    <t>Payout Ratio %</t>
  </si>
  <si>
    <t>Shares per Depository Receipt</t>
  </si>
  <si>
    <t>Supplemental Items</t>
  </si>
  <si>
    <t>EBITDA</t>
  </si>
  <si>
    <t>EBITA</t>
  </si>
  <si>
    <t>EBIT</t>
  </si>
  <si>
    <t>EBITDAR</t>
  </si>
  <si>
    <t>NA</t>
  </si>
  <si>
    <t>As Reported Total Revenue*</t>
  </si>
  <si>
    <t>Effective Tax Rate %</t>
  </si>
  <si>
    <t>Current Domestic Taxes</t>
  </si>
  <si>
    <t>Current Foreign Taxes</t>
  </si>
  <si>
    <t>Total Current Taxes</t>
  </si>
  <si>
    <t>Deferred Domestic Taxes</t>
  </si>
  <si>
    <t>Deferred Foreign Taxes</t>
  </si>
  <si>
    <t>Total Deferred Taxes</t>
  </si>
  <si>
    <t>Normalized Net Income</t>
  </si>
  <si>
    <t>Non-Cash Pension Expense</t>
  </si>
  <si>
    <t>Filing Date</t>
  </si>
  <si>
    <t>Restatement Type</t>
  </si>
  <si>
    <t>RC</t>
  </si>
  <si>
    <t>NC</t>
  </si>
  <si>
    <t>O</t>
  </si>
  <si>
    <t>Calculation Type</t>
  </si>
  <si>
    <t>REP</t>
  </si>
  <si>
    <t>LTM</t>
  </si>
  <si>
    <t>Supplemental Operating Expense Items</t>
  </si>
  <si>
    <t>General and Administrative Exp.</t>
  </si>
  <si>
    <t>Net Rental Exp.</t>
  </si>
  <si>
    <t>Imputed Oper. Lease Interest Exp.</t>
  </si>
  <si>
    <t>Imputed Oper. Lease Depreciation</t>
  </si>
  <si>
    <t>Stock-Based Comp., SG&amp;A Exp.</t>
  </si>
  <si>
    <t>Stock-Based Comp., Unallocated</t>
  </si>
  <si>
    <t xml:space="preserve">  Stock-Based Comp., Total</t>
  </si>
  <si>
    <t>* Occasionally, certain items classified as Revenue by the company will be re-classified as other income if it is deemed to be non-recurring and unrelated to the core business of the firm. This field shows Total Revenue exactly as reported by the firm on its consolidated statement of income.</t>
  </si>
  <si>
    <t>Note: For multiple class companies, per share items are primary class equivalent, and for foreign companies listed as primary ADRs, per share items are ADR-equivalent.</t>
  </si>
  <si>
    <t xml:space="preserve">
               </t>
  </si>
  <si>
    <t>Intercontinental Exchange, Inc. (NYSE:ICE) &gt; Financials &gt; Balance Sheet</t>
  </si>
  <si>
    <t>Balance Sheet</t>
  </si>
  <si>
    <t xml:space="preserve">Balance Sheet as of:
</t>
  </si>
  <si>
    <t>ASSETS</t>
  </si>
  <si>
    <t>Cash And Equivalents</t>
  </si>
  <si>
    <t xml:space="preserve">  Total Cash &amp; ST Investments</t>
  </si>
  <si>
    <t>Accounts Receivable</t>
  </si>
  <si>
    <t xml:space="preserve">  Total Receivables</t>
  </si>
  <si>
    <t>Prepaid Exp.</t>
  </si>
  <si>
    <t>Restricted Cash</t>
  </si>
  <si>
    <t>Other Current Assets</t>
  </si>
  <si>
    <t xml:space="preserve">  Total Current Assets</t>
  </si>
  <si>
    <t>Gross Property, Plant &amp; Equipment</t>
  </si>
  <si>
    <t>Accumulated Depreciation</t>
  </si>
  <si>
    <t xml:space="preserve">  Net Property, Plant &amp; Equipment</t>
  </si>
  <si>
    <t>Goodwill</t>
  </si>
  <si>
    <t>Other Intangibles</t>
  </si>
  <si>
    <t>Other Long-Term Assets</t>
  </si>
  <si>
    <t>Total Assets</t>
  </si>
  <si>
    <t>LIABILITIES</t>
  </si>
  <si>
    <t>Accounts Payable</t>
  </si>
  <si>
    <t>Accrued Exp.</t>
  </si>
  <si>
    <t>Short-term Borrowings</t>
  </si>
  <si>
    <t>Curr. Port. of LT Debt</t>
  </si>
  <si>
    <t>Curr. Port. of Leases</t>
  </si>
  <si>
    <t>Unearned Revenue, Current</t>
  </si>
  <si>
    <t>Other Current Liabilities</t>
  </si>
  <si>
    <t xml:space="preserve">  Total Current Liabilities</t>
  </si>
  <si>
    <t>Long-Term Debt</t>
  </si>
  <si>
    <t>Long-Term Leases</t>
  </si>
  <si>
    <t>Unearned Revenue, Non-Current</t>
  </si>
  <si>
    <t>Pension &amp; Other Post-Retire. Benefits</t>
  </si>
  <si>
    <t>Def. Tax Liability, Non-Curr.</t>
  </si>
  <si>
    <t>Other Non-Current Liabilities</t>
  </si>
  <si>
    <t>Total Liabilities</t>
  </si>
  <si>
    <t>Common Stock</t>
  </si>
  <si>
    <t>Additional Paid In Capital</t>
  </si>
  <si>
    <t>Retained Earnings</t>
  </si>
  <si>
    <t>Treasury Stock</t>
  </si>
  <si>
    <t>Comprehensive Inc. and Other</t>
  </si>
  <si>
    <t xml:space="preserve">  Total Common Equity</t>
  </si>
  <si>
    <t>Minority Interest</t>
  </si>
  <si>
    <t>Total Equity</t>
  </si>
  <si>
    <t>Total Liabilities And Equity</t>
  </si>
  <si>
    <t>Total Shares Out. on Filing Date</t>
  </si>
  <si>
    <t>Total Shares Out. on Balance Sheet Date</t>
  </si>
  <si>
    <t>Book Value/Share</t>
  </si>
  <si>
    <t>Tangible Book Value</t>
  </si>
  <si>
    <t>Tangible Book Value/Share</t>
  </si>
  <si>
    <t>Total Debt</t>
  </si>
  <si>
    <t>Net Debt</t>
  </si>
  <si>
    <t>Debt Equiv. of Unfunded Proj. Benefit Obligation</t>
  </si>
  <si>
    <t>Debt Equivalent Oper. Leases</t>
  </si>
  <si>
    <t>Total Minority Interest</t>
  </si>
  <si>
    <t>Inventory Method</t>
  </si>
  <si>
    <t>Land</t>
  </si>
  <si>
    <t>Buildings</t>
  </si>
  <si>
    <t>Machinery</t>
  </si>
  <si>
    <t>Leasehold Improvements</t>
  </si>
  <si>
    <t>Full Time Employees</t>
  </si>
  <si>
    <t>Accum. Allowance for Doubtful Accts</t>
  </si>
  <si>
    <t>RUP</t>
  </si>
  <si>
    <t>Note: For multiple class companies, total share counts are primary class equivalent, and for foreign companies listed as primary ADRs, total share counts are ADR-equivalent.</t>
  </si>
  <si>
    <t>Stub</t>
  </si>
  <si>
    <t>Discount Period</t>
  </si>
  <si>
    <t>Revenue Growth</t>
  </si>
  <si>
    <t>COGS</t>
  </si>
  <si>
    <t>Gross Profit</t>
  </si>
  <si>
    <t>Gross Profit Margin</t>
  </si>
  <si>
    <t>EBIT Margin</t>
  </si>
  <si>
    <t>Tax Expense</t>
  </si>
  <si>
    <t>Effective Tax Rate</t>
  </si>
  <si>
    <t>NOPAT</t>
  </si>
  <si>
    <t>D&amp;A</t>
  </si>
  <si>
    <t>Capex</t>
  </si>
  <si>
    <t>Changes in NWC</t>
  </si>
  <si>
    <t>Acquisition Costs</t>
  </si>
  <si>
    <t>UFCF</t>
  </si>
  <si>
    <t>PV of FCF</t>
  </si>
  <si>
    <t>SG&amp;A</t>
  </si>
  <si>
    <t>Base</t>
  </si>
  <si>
    <t>Bull</t>
  </si>
  <si>
    <t>Bear</t>
  </si>
  <si>
    <t>Intercontinental Exchange, Inc. (NYSE:ICE) &gt; Financials &gt; Cash Flow</t>
  </si>
  <si>
    <t>Cash Flow</t>
  </si>
  <si>
    <t>12 months
Dec-31-2018</t>
  </si>
  <si>
    <t>Restated
12 months
Dec-31-2019</t>
  </si>
  <si>
    <t>Restated
12 months
Dec-31-2020</t>
  </si>
  <si>
    <t>Net Income</t>
  </si>
  <si>
    <t>Amort. of Goodwill and Intangibles</t>
  </si>
  <si>
    <t>Depreciation &amp; Amort., Total</t>
  </si>
  <si>
    <t>Other Amortization</t>
  </si>
  <si>
    <t>(Gain) Loss From Sale Of Assets</t>
  </si>
  <si>
    <t>(Gain) Loss On Sale Of Invest.</t>
  </si>
  <si>
    <t>Asset Writedown &amp; Restructuring Costs</t>
  </si>
  <si>
    <t>(Income) Loss on Equity Invest.</t>
  </si>
  <si>
    <t>Stock-Based Compensation</t>
  </si>
  <si>
    <t>Other Operating Activities</t>
  </si>
  <si>
    <t>Change in Acc. Receivable</t>
  </si>
  <si>
    <t>Change in Unearned Rev.</t>
  </si>
  <si>
    <t>Change in Other Net Operating Assets</t>
  </si>
  <si>
    <t xml:space="preserve">  Cash from Ops.</t>
  </si>
  <si>
    <t>Capital Expenditure</t>
  </si>
  <si>
    <t>Cash Acquisitions</t>
  </si>
  <si>
    <t>Divestitures</t>
  </si>
  <si>
    <t>Sale (Purchase) of Intangible assets</t>
  </si>
  <si>
    <t>Invest. in Marketable &amp; Equity Securt.</t>
  </si>
  <si>
    <t>Net (Inc.) Dec. in Loans Originated/Sold</t>
  </si>
  <si>
    <t>Other Investing Activities</t>
  </si>
  <si>
    <t xml:space="preserve">  Cash from Investing</t>
  </si>
  <si>
    <t>Short Term Debt Issued</t>
  </si>
  <si>
    <t>Long-Term Debt Issued</t>
  </si>
  <si>
    <t>Total Debt Issued</t>
  </si>
  <si>
    <t>Short Term Debt Repaid</t>
  </si>
  <si>
    <t>Long-Term Debt Repaid</t>
  </si>
  <si>
    <t>Total Debt Repaid</t>
  </si>
  <si>
    <t>Repurchase of Common Stock</t>
  </si>
  <si>
    <t>Common Dividends Paid</t>
  </si>
  <si>
    <t>Total Dividends Paid</t>
  </si>
  <si>
    <t>Special Dividend Paid</t>
  </si>
  <si>
    <t>Other Financing Activities</t>
  </si>
  <si>
    <t xml:space="preserve">  Cash from Financing</t>
  </si>
  <si>
    <t>Foreign Exchange Rate Adj.</t>
  </si>
  <si>
    <t xml:space="preserve">  Net Change in Cash</t>
  </si>
  <si>
    <t>Cash Interest Paid</t>
  </si>
  <si>
    <t>Cash Taxes Paid</t>
  </si>
  <si>
    <t>Levered Free Cash Flow</t>
  </si>
  <si>
    <t>Unlevered Free Cash Flow</t>
  </si>
  <si>
    <t>Change in Net Working Capital</t>
  </si>
  <si>
    <t>Net Debt Issued</t>
  </si>
  <si>
    <t>RS</t>
  </si>
  <si>
    <t>Fixed Income &amp; Analytics</t>
  </si>
  <si>
    <t>Exchanges</t>
  </si>
  <si>
    <t>Mortgage</t>
  </si>
  <si>
    <t>Section 31</t>
  </si>
  <si>
    <t>Cash Liquidity Payments</t>
  </si>
  <si>
    <t>WACC</t>
  </si>
  <si>
    <t>2028 FCF</t>
  </si>
  <si>
    <t>Growth</t>
  </si>
  <si>
    <t>Terminal Value</t>
  </si>
  <si>
    <t>PV of Terminal Value</t>
  </si>
  <si>
    <t>PV of Projection Period</t>
  </si>
  <si>
    <t>Implied TEV</t>
  </si>
  <si>
    <t>(-) Debt</t>
  </si>
  <si>
    <t>(+) Cash</t>
  </si>
  <si>
    <t>Implied Equity Value</t>
  </si>
  <si>
    <t>Diluted Shares Outstanding</t>
  </si>
  <si>
    <t>Implied Share Price</t>
  </si>
  <si>
    <t>2028 EBITDA</t>
  </si>
  <si>
    <t>EV/EBITDA</t>
  </si>
  <si>
    <t>Implied EV/Revenue</t>
  </si>
  <si>
    <t>Implied PGR</t>
  </si>
  <si>
    <t>Blended Share Price</t>
  </si>
  <si>
    <t>Exit Multiple Method</t>
  </si>
  <si>
    <t>Perpetutity Growth Method</t>
  </si>
  <si>
    <t>Company</t>
  </si>
  <si>
    <t>Ticker</t>
  </si>
  <si>
    <t>Market Cap ($bn)</t>
  </si>
  <si>
    <t>Enterprise Value ($bn)</t>
  </si>
  <si>
    <t>EBITDA Margin (LTM)</t>
  </si>
  <si>
    <t>EBITDA Margin (NTM)</t>
  </si>
  <si>
    <t>EV/EBITDA (LTM)</t>
  </si>
  <si>
    <t>EV/EBITDA (NTM)</t>
  </si>
  <si>
    <t>EV/Revenue (LTM)</t>
  </si>
  <si>
    <t>EV Revenue (NTM)</t>
  </si>
  <si>
    <t>P/E</t>
  </si>
  <si>
    <t>Low</t>
  </si>
  <si>
    <t>Median</t>
  </si>
  <si>
    <t>Mean</t>
  </si>
  <si>
    <t>High</t>
  </si>
  <si>
    <t>FY2018</t>
  </si>
  <si>
    <t>FY2019</t>
  </si>
  <si>
    <t>FY2020</t>
  </si>
  <si>
    <t>FY2021</t>
  </si>
  <si>
    <t>FY2022</t>
  </si>
  <si>
    <t>FY2023</t>
  </si>
  <si>
    <t>FY2024</t>
  </si>
  <si>
    <t>FY2025</t>
  </si>
  <si>
    <t>FY2026</t>
  </si>
  <si>
    <t>FY2027</t>
  </si>
  <si>
    <t>FY2028</t>
  </si>
  <si>
    <t>Assets</t>
  </si>
  <si>
    <t>Liabilities</t>
  </si>
  <si>
    <t>Net Working Capital</t>
  </si>
  <si>
    <t>Drivers</t>
  </si>
  <si>
    <t>Change in NWC</t>
  </si>
  <si>
    <t>Accounts Receivable % of Revenue</t>
  </si>
  <si>
    <t>Prepaid Exp. % of Revenue</t>
  </si>
  <si>
    <t>Restricted Cash % of Revenue</t>
  </si>
  <si>
    <t>Other Current Assets % of Revenue</t>
  </si>
  <si>
    <t>Accounts Payable % of Revenue</t>
  </si>
  <si>
    <t>Accrued Exp. % of Revenue</t>
  </si>
  <si>
    <t>Short-term Borrowings % of Revenue</t>
  </si>
  <si>
    <t>Unearned Revenue, Current % of Revenue</t>
  </si>
  <si>
    <t>Other Current Liabilities % of Revenue</t>
  </si>
  <si>
    <t>Total Current Liabilities</t>
  </si>
  <si>
    <t>Total Current Assets</t>
  </si>
  <si>
    <t>Step</t>
  </si>
  <si>
    <t>% of Revenue</t>
  </si>
  <si>
    <t>Growth YOY</t>
  </si>
  <si>
    <t>% of Exchange Revenue</t>
  </si>
  <si>
    <t>Revenue Segmentation</t>
  </si>
  <si>
    <t>Total Revenue</t>
  </si>
  <si>
    <t>Exchanges Revenue</t>
  </si>
  <si>
    <t>Historicals</t>
  </si>
  <si>
    <t>Projections</t>
  </si>
  <si>
    <t>Case:</t>
  </si>
  <si>
    <t>ICE NWC</t>
  </si>
  <si>
    <t>Adj.. PV</t>
  </si>
  <si>
    <t>Perpetuity Growth Method</t>
  </si>
  <si>
    <t>CME Group</t>
  </si>
  <si>
    <t>Nasdaq</t>
  </si>
  <si>
    <t>CBOE Global Markets</t>
  </si>
  <si>
    <t>Tradeweb Markets</t>
  </si>
  <si>
    <t>MarketAxess Holdings</t>
  </si>
  <si>
    <t>Moody's Corporation</t>
  </si>
  <si>
    <t>MSCI</t>
  </si>
  <si>
    <t>Deutsche Börse</t>
  </si>
  <si>
    <t>S&amp;P Global</t>
  </si>
  <si>
    <t>CME</t>
  </si>
  <si>
    <t>CBOE</t>
  </si>
  <si>
    <t>Intercontinental Exchange</t>
  </si>
  <si>
    <t>NDAQ</t>
  </si>
  <si>
    <t>SPGI</t>
  </si>
  <si>
    <t>TW</t>
  </si>
  <si>
    <t>MKTX</t>
  </si>
  <si>
    <t>MCO</t>
  </si>
  <si>
    <t>DBI</t>
  </si>
  <si>
    <t>ICE</t>
  </si>
  <si>
    <t>Market Risk Premium</t>
  </si>
  <si>
    <t>Beta</t>
  </si>
  <si>
    <t>Risk Free Rate</t>
  </si>
  <si>
    <t>Cost of Equity</t>
  </si>
  <si>
    <t>Weighted Average Cost of Debt</t>
  </si>
  <si>
    <t>Tax Rate</t>
  </si>
  <si>
    <t>Cost of Debt</t>
  </si>
  <si>
    <t>Equity/Total Capitalization</t>
  </si>
  <si>
    <t>Debt/Total Capitalization</t>
  </si>
  <si>
    <t>Weighted Average Cost of Capital ($mm)</t>
  </si>
  <si>
    <t>DCF Analysis ($mm)</t>
  </si>
  <si>
    <t>Notre Dame Investment Club</t>
  </si>
  <si>
    <t>Sam Marshall, Mattia Bernocco, Tom Kusak</t>
  </si>
  <si>
    <t>Tuesday, November 14</t>
  </si>
  <si>
    <t>Recommendation: BUY</t>
  </si>
  <si>
    <t>Case 1: 25th Percentile</t>
  </si>
  <si>
    <t>Implied Multiple</t>
  </si>
  <si>
    <t>25th Percentile</t>
  </si>
  <si>
    <t>75th Percentile</t>
  </si>
  <si>
    <t>LTM EBITDA</t>
  </si>
  <si>
    <t>Less: Debt</t>
  </si>
  <si>
    <t>Plus: Cash</t>
  </si>
  <si>
    <t>Equity Value</t>
  </si>
  <si>
    <t>Upside/Downside</t>
  </si>
  <si>
    <t>Case 2: Mean</t>
  </si>
  <si>
    <t>Case 3: 75th Percentile</t>
  </si>
  <si>
    <t>Enterprise Value</t>
  </si>
  <si>
    <t>Master</t>
  </si>
  <si>
    <t>Valuation Date</t>
  </si>
  <si>
    <t>Current Share Price</t>
  </si>
  <si>
    <t>Case (Adjustable)</t>
  </si>
  <si>
    <t>Comps</t>
  </si>
  <si>
    <t>Active Case</t>
  </si>
  <si>
    <t>Discounted Cash Flow</t>
  </si>
  <si>
    <t>Active Case:</t>
  </si>
  <si>
    <t>Implied Upside</t>
  </si>
  <si>
    <t>* Strong 2024 Growth Due to Integration of Black Knight Financials</t>
  </si>
  <si>
    <t>Case Distinction</t>
  </si>
  <si>
    <t>ICE delevers to 3x Debt/EBITDA by 2025</t>
  </si>
  <si>
    <t>ICE fails to delever to 3.25x until 2028, and BKI takes multiple years to become accretive.</t>
  </si>
  <si>
    <t>Mortgage rates remain high through 2028, leaving ICE's mortgage tech in a cramped market.</t>
  </si>
  <si>
    <t>Lack of market volatility leads to lower-than-expected exchange revenue growth.</t>
  </si>
  <si>
    <t xml:space="preserve">Additionally, 30yr mortgage rates drop below 6.5% by 2027. </t>
  </si>
  <si>
    <t>This is paired with an increase in IPOs, growing the exchange segment.</t>
  </si>
  <si>
    <t>Black Knight becomes quickly accretive.</t>
  </si>
  <si>
    <t>Interest and mortgage rates drop, driving booms in the economy and housing industry.</t>
  </si>
  <si>
    <t>Base Case Price Target: $132.41</t>
  </si>
  <si>
    <t>Upside: 20.6%</t>
  </si>
  <si>
    <t>Black Knight is successfully integrated into ICE's mortage platform (accretive &amp; delevering).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</si>
</sst>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_(* #,##0.0_);_(* \(#,##0.0\)_)\ ;_(* 0_)"/>
    <numFmt numFmtId="165" formatCode="_(&quot;$&quot;#,##0.0#_);_(\(&quot;$&quot;#,##0.0#\)_);_(&quot;$&quot;&quot; - &quot;_)"/>
    <numFmt numFmtId="166" formatCode="_(* #,##0.0#_);_(* \(#,##0.0#\)_)\ ;_(* 0_)"/>
    <numFmt numFmtId="167" formatCode="_(#,##0.0%_);_(\(#,##0.0%\)_);_(#,##0.0%_)"/>
    <numFmt numFmtId="168" formatCode="_(* #,##0.0##_);_(* \(#,##0.0##\)_)\ ;_(* 0_)"/>
    <numFmt numFmtId="169" formatCode="mmm\-dd\-yyyy"/>
    <numFmt numFmtId="170" formatCode="_(* #,##0_);_(* \(#,##0\)_)\ ;_(* 0_)"/>
    <numFmt numFmtId="171" formatCode="0.0%"/>
    <numFmt numFmtId="172" formatCode="&quot;$&quot;#,##0.00"/>
    <numFmt numFmtId="173" formatCode="0.00_);\(0.00\)"/>
    <numFmt numFmtId="174" formatCode="#,##0.0_);\(#,##0.0\)"/>
    <numFmt numFmtId="175" formatCode="&quot;$&quot;#,##0"/>
    <numFmt numFmtId="176" formatCode="0.0\x"/>
    <numFmt numFmtId="177" formatCode="_(#,##0.0%_);\(#,##0.0%\);_(&quot;–&quot;_)_%;_(@_)_%"/>
    <numFmt numFmtId="178" formatCode="0.0"/>
    <numFmt numFmtId="179" formatCode="0\x"/>
  </numFmts>
  <fonts count="46" x14ac:knownFonts="1">
    <font>
      <sz val="10"/>
      <name val="Arial"/>
    </font>
    <font>
      <sz val="10"/>
      <name val="Arial"/>
    </font>
    <font>
      <sz val="8"/>
      <name val="Arial"/>
    </font>
    <font>
      <b/>
      <sz val="13"/>
      <color indexed="8"/>
      <name val="Verdana"/>
    </font>
    <font>
      <b/>
      <sz val="12"/>
      <color indexed="8"/>
      <name val="Verdana"/>
    </font>
    <font>
      <b/>
      <sz val="10"/>
      <color indexed="9"/>
      <name val="Arial"/>
    </font>
    <font>
      <b/>
      <u val="singleAccounting"/>
      <sz val="8"/>
      <color indexed="8"/>
      <name val="Verdana"/>
    </font>
    <font>
      <b/>
      <sz val="8"/>
      <color indexed="9"/>
      <name val="Verdana"/>
    </font>
    <font>
      <b/>
      <u val="singleAccounting"/>
      <sz val="8"/>
      <color indexed="8"/>
      <name val="Arial"/>
    </font>
    <font>
      <sz val="8"/>
      <color indexed="8"/>
      <name val="Arial"/>
    </font>
    <font>
      <vertAlign val="superscript"/>
      <sz val="8"/>
      <color indexed="8"/>
      <name val="Arial"/>
    </font>
    <font>
      <vertAlign val="subscript"/>
      <sz val="8"/>
      <color indexed="8"/>
      <name val="Arial"/>
    </font>
    <font>
      <b/>
      <sz val="8"/>
      <color indexed="8"/>
      <name val="Arial"/>
    </font>
    <font>
      <i/>
      <sz val="8"/>
      <color indexed="8"/>
      <name val="Arial"/>
    </font>
    <font>
      <sz val="1"/>
      <color indexed="9"/>
      <name val="Symbol"/>
    </font>
    <font>
      <sz val="10"/>
      <color indexed="8"/>
      <name val="Arial"/>
    </font>
    <font>
      <b/>
      <sz val="8"/>
      <color indexed="8"/>
      <name val="Verdana"/>
    </font>
    <font>
      <i/>
      <sz val="8"/>
      <name val="Arial"/>
    </font>
    <font>
      <b/>
      <sz val="8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1"/>
      <name val="Calibri"/>
      <family val="2"/>
      <scheme val="minor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9"/>
      <name val="Calibri"/>
      <family val="2"/>
      <scheme val="minor"/>
    </font>
    <font>
      <i/>
      <sz val="11"/>
      <name val="Garamond"/>
      <family val="1"/>
    </font>
    <font>
      <sz val="8"/>
      <name val="Garamond"/>
      <family val="1"/>
    </font>
    <font>
      <sz val="8"/>
      <color indexed="8"/>
      <name val="Garamond"/>
      <family val="1"/>
    </font>
    <font>
      <b/>
      <sz val="8"/>
      <name val="Garamond"/>
      <family val="1"/>
    </font>
    <font>
      <b/>
      <sz val="8"/>
      <color indexed="9"/>
      <name val="Garamond"/>
      <family val="1"/>
    </font>
    <font>
      <sz val="1"/>
      <color indexed="9"/>
      <name val="Garamond"/>
      <family val="1"/>
    </font>
    <font>
      <b/>
      <sz val="8"/>
      <color indexed="8"/>
      <name val="Garamond"/>
      <family val="1"/>
    </font>
    <font>
      <b/>
      <i/>
      <sz val="8"/>
      <color indexed="8"/>
      <name val="Garamond"/>
      <family val="1"/>
    </font>
    <font>
      <b/>
      <sz val="13"/>
      <color indexed="8"/>
      <name val="Garamond"/>
      <family val="1"/>
    </font>
    <font>
      <i/>
      <sz val="8"/>
      <name val="Garamond"/>
      <family val="1"/>
    </font>
    <font>
      <b/>
      <sz val="11"/>
      <color theme="0"/>
      <name val="Garamond"/>
      <family val="1"/>
    </font>
    <font>
      <sz val="11"/>
      <color theme="0"/>
      <name val="Garamond"/>
      <family val="1"/>
    </font>
    <font>
      <b/>
      <u/>
      <sz val="11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10"/>
      <name val="Garamond"/>
      <family val="1"/>
    </font>
    <font>
      <sz val="9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3C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3" fillId="0" borderId="0" applyAlignment="0"/>
    <xf numFmtId="0" fontId="4" fillId="0" borderId="0" applyAlignment="0"/>
    <xf numFmtId="0" fontId="5" fillId="2" borderId="0" applyAlignment="0"/>
    <xf numFmtId="0" fontId="6" fillId="3" borderId="0" applyAlignment="0"/>
    <xf numFmtId="0" fontId="7" fillId="4" borderId="0" applyAlignment="0"/>
    <xf numFmtId="0" fontId="8" fillId="5" borderId="0" applyAlignment="0"/>
    <xf numFmtId="0" fontId="9" fillId="0" borderId="0" applyAlignment="0"/>
    <xf numFmtId="0" fontId="10" fillId="0" borderId="0" applyAlignment="0"/>
    <xf numFmtId="0" fontId="11" fillId="0" borderId="0" applyAlignment="0"/>
    <xf numFmtId="0" fontId="12" fillId="0" borderId="0" applyAlignment="0"/>
    <xf numFmtId="0" fontId="13" fillId="0" borderId="0" applyAlignment="0"/>
    <xf numFmtId="0" fontId="12" fillId="0" borderId="0" applyAlignment="0">
      <alignment wrapText="1"/>
    </xf>
    <xf numFmtId="0" fontId="14" fillId="0" borderId="0" applyAlignment="0"/>
    <xf numFmtId="0" fontId="15" fillId="0" borderId="0" applyAlignment="0"/>
    <xf numFmtId="0" fontId="16" fillId="0" borderId="0" applyAlignment="0"/>
    <xf numFmtId="0" fontId="20" fillId="0" borderId="0"/>
    <xf numFmtId="0" fontId="22" fillId="0" borderId="0" applyAlignment="0"/>
  </cellStyleXfs>
  <cellXfs count="272">
    <xf numFmtId="0" fontId="2" fillId="0" borderId="0" xfId="0" applyFont="1"/>
    <xf numFmtId="0" fontId="3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9" fillId="0" borderId="0" xfId="0" applyFont="1" applyAlignment="1">
      <alignment horizontal="left" vertical="top"/>
    </xf>
    <xf numFmtId="0" fontId="14" fillId="0" borderId="0" xfId="14" applyAlignment="1"/>
    <xf numFmtId="0" fontId="19" fillId="0" borderId="0" xfId="17" applyFont="1"/>
    <xf numFmtId="0" fontId="21" fillId="0" borderId="0" xfId="17" applyFont="1" applyAlignment="1">
      <alignment horizontal="left" vertical="top"/>
    </xf>
    <xf numFmtId="0" fontId="22" fillId="0" borderId="0" xfId="18" applyAlignment="1"/>
    <xf numFmtId="0" fontId="21" fillId="0" borderId="0" xfId="17" applyFont="1" applyAlignment="1">
      <alignment horizontal="center" vertical="center" wrapText="1"/>
    </xf>
    <xf numFmtId="0" fontId="19" fillId="0" borderId="0" xfId="17" applyFont="1" applyAlignment="1">
      <alignment vertical="top" wrapText="1"/>
    </xf>
    <xf numFmtId="0" fontId="23" fillId="0" borderId="0" xfId="0" applyFont="1"/>
    <xf numFmtId="39" fontId="23" fillId="0" borderId="0" xfId="0" applyNumberFormat="1" applyFont="1"/>
    <xf numFmtId="0" fontId="28" fillId="0" borderId="0" xfId="0" applyFont="1"/>
    <xf numFmtId="0" fontId="26" fillId="0" borderId="0" xfId="0" applyFont="1"/>
    <xf numFmtId="0" fontId="25" fillId="0" borderId="0" xfId="0" applyFont="1"/>
    <xf numFmtId="0" fontId="29" fillId="0" borderId="0" xfId="0" applyFont="1"/>
    <xf numFmtId="0" fontId="25" fillId="10" borderId="0" xfId="0" applyFont="1" applyFill="1"/>
    <xf numFmtId="14" fontId="25" fillId="10" borderId="0" xfId="0" applyNumberFormat="1" applyFont="1" applyFill="1"/>
    <xf numFmtId="8" fontId="25" fillId="10" borderId="0" xfId="0" applyNumberFormat="1" applyFont="1" applyFill="1"/>
    <xf numFmtId="0" fontId="25" fillId="7" borderId="0" xfId="0" applyFont="1" applyFill="1"/>
    <xf numFmtId="171" fontId="26" fillId="7" borderId="0" xfId="0" applyNumberFormat="1" applyFont="1" applyFill="1"/>
    <xf numFmtId="172" fontId="26" fillId="7" borderId="0" xfId="0" applyNumberFormat="1" applyFont="1" applyFill="1"/>
    <xf numFmtId="0" fontId="30" fillId="0" borderId="0" xfId="0" applyFont="1"/>
    <xf numFmtId="0" fontId="31" fillId="0" borderId="0" xfId="0" applyFont="1" applyAlignment="1">
      <alignment horizontal="left" vertical="top"/>
    </xf>
    <xf numFmtId="0" fontId="32" fillId="0" borderId="0" xfId="0" applyFont="1"/>
    <xf numFmtId="49" fontId="30" fillId="0" borderId="0" xfId="0" applyNumberFormat="1" applyFont="1"/>
    <xf numFmtId="0" fontId="31" fillId="0" borderId="0" xfId="0" applyFont="1" applyAlignment="1">
      <alignment horizontal="left" vertical="center"/>
    </xf>
    <xf numFmtId="0" fontId="33" fillId="6" borderId="0" xfId="0" applyFont="1" applyFill="1"/>
    <xf numFmtId="0" fontId="34" fillId="0" borderId="0" xfId="14" applyFont="1" applyAlignment="1"/>
    <xf numFmtId="0" fontId="35" fillId="7" borderId="0" xfId="0" applyFont="1" applyFill="1" applyAlignment="1">
      <alignment wrapText="1"/>
    </xf>
    <xf numFmtId="0" fontId="35" fillId="7" borderId="0" xfId="0" applyFont="1" applyFill="1" applyAlignment="1">
      <alignment horizontal="right" wrapText="1"/>
    </xf>
    <xf numFmtId="0" fontId="36" fillId="7" borderId="0" xfId="0" applyFont="1" applyFill="1" applyAlignment="1">
      <alignment wrapText="1"/>
    </xf>
    <xf numFmtId="0" fontId="36" fillId="7" borderId="0" xfId="0" applyFont="1" applyFill="1" applyAlignment="1">
      <alignment horizontal="right" wrapText="1"/>
    </xf>
    <xf numFmtId="0" fontId="35" fillId="0" borderId="0" xfId="0" applyFont="1" applyAlignment="1">
      <alignment horizontal="left" vertical="top"/>
    </xf>
    <xf numFmtId="164" fontId="31" fillId="0" borderId="0" xfId="0" applyNumberFormat="1" applyFont="1" applyAlignment="1">
      <alignment horizontal="right" vertical="top" wrapText="1"/>
    </xf>
    <xf numFmtId="164" fontId="35" fillId="0" borderId="0" xfId="0" applyNumberFormat="1" applyFont="1" applyAlignment="1">
      <alignment horizontal="right" vertical="top" wrapText="1"/>
    </xf>
    <xf numFmtId="165" fontId="31" fillId="0" borderId="0" xfId="0" applyNumberFormat="1" applyFont="1" applyAlignment="1">
      <alignment horizontal="right" vertical="top" wrapText="1"/>
    </xf>
    <xf numFmtId="166" fontId="31" fillId="0" borderId="0" xfId="0" applyNumberFormat="1" applyFont="1" applyAlignment="1">
      <alignment horizontal="right" vertical="top" wrapText="1"/>
    </xf>
    <xf numFmtId="167" fontId="31" fillId="0" borderId="0" xfId="0" applyNumberFormat="1" applyFont="1" applyAlignment="1">
      <alignment horizontal="right" vertical="top" wrapText="1"/>
    </xf>
    <xf numFmtId="168" fontId="31" fillId="0" borderId="0" xfId="0" applyNumberFormat="1" applyFont="1" applyAlignment="1">
      <alignment horizontal="right" vertical="top" wrapText="1"/>
    </xf>
    <xf numFmtId="169" fontId="31" fillId="0" borderId="0" xfId="0" applyNumberFormat="1" applyFont="1" applyAlignment="1">
      <alignment horizontal="right" vertical="top" wrapText="1"/>
    </xf>
    <xf numFmtId="49" fontId="31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wrapText="1"/>
    </xf>
    <xf numFmtId="169" fontId="35" fillId="7" borderId="0" xfId="0" applyNumberFormat="1" applyFont="1" applyFill="1" applyAlignment="1">
      <alignment horizontal="right" wrapText="1"/>
    </xf>
    <xf numFmtId="170" fontId="31" fillId="0" borderId="0" xfId="0" applyNumberFormat="1" applyFont="1" applyAlignment="1">
      <alignment horizontal="right" vertical="top" wrapText="1"/>
    </xf>
    <xf numFmtId="0" fontId="30" fillId="0" borderId="0" xfId="17" applyFont="1"/>
    <xf numFmtId="0" fontId="37" fillId="0" borderId="0" xfId="17" applyFont="1"/>
    <xf numFmtId="0" fontId="38" fillId="0" borderId="0" xfId="17" applyFont="1" applyAlignment="1">
      <alignment wrapText="1"/>
    </xf>
    <xf numFmtId="0" fontId="32" fillId="0" borderId="0" xfId="17" applyFont="1"/>
    <xf numFmtId="0" fontId="31" fillId="0" borderId="0" xfId="17" applyFont="1" applyAlignment="1">
      <alignment horizontal="left" vertical="top"/>
    </xf>
    <xf numFmtId="49" fontId="30" fillId="0" borderId="0" xfId="17" applyNumberFormat="1" applyFont="1"/>
    <xf numFmtId="0" fontId="31" fillId="0" borderId="0" xfId="17" applyFont="1" applyAlignment="1">
      <alignment horizontal="left" vertical="center"/>
    </xf>
    <xf numFmtId="0" fontId="33" fillId="6" borderId="0" xfId="17" applyFont="1" applyFill="1"/>
    <xf numFmtId="0" fontId="35" fillId="7" borderId="0" xfId="17" applyFont="1" applyFill="1" applyAlignment="1">
      <alignment wrapText="1"/>
    </xf>
    <xf numFmtId="0" fontId="35" fillId="7" borderId="0" xfId="17" applyFont="1" applyFill="1" applyAlignment="1">
      <alignment horizontal="right" wrapText="1"/>
    </xf>
    <xf numFmtId="0" fontId="36" fillId="7" borderId="0" xfId="17" applyFont="1" applyFill="1" applyAlignment="1">
      <alignment wrapText="1"/>
    </xf>
    <xf numFmtId="0" fontId="36" fillId="7" borderId="0" xfId="17" applyFont="1" applyFill="1" applyAlignment="1">
      <alignment horizontal="right" wrapText="1"/>
    </xf>
    <xf numFmtId="0" fontId="35" fillId="0" borderId="0" xfId="17" applyFont="1" applyAlignment="1">
      <alignment horizontal="left" vertical="top"/>
    </xf>
    <xf numFmtId="164" fontId="35" fillId="0" borderId="0" xfId="17" applyNumberFormat="1" applyFont="1" applyAlignment="1">
      <alignment horizontal="right" vertical="top" wrapText="1"/>
    </xf>
    <xf numFmtId="164" fontId="31" fillId="0" borderId="0" xfId="17" applyNumberFormat="1" applyFont="1" applyAlignment="1">
      <alignment horizontal="right" vertical="top" wrapText="1"/>
    </xf>
    <xf numFmtId="169" fontId="31" fillId="0" borderId="0" xfId="17" applyNumberFormat="1" applyFont="1" applyAlignment="1">
      <alignment horizontal="right" vertical="top" wrapText="1"/>
    </xf>
    <xf numFmtId="49" fontId="31" fillId="0" borderId="0" xfId="17" applyNumberFormat="1" applyFont="1" applyAlignment="1">
      <alignment horizontal="right" vertical="top" wrapText="1"/>
    </xf>
    <xf numFmtId="0" fontId="39" fillId="7" borderId="0" xfId="0" applyFont="1" applyFill="1"/>
    <xf numFmtId="0" fontId="30" fillId="7" borderId="0" xfId="0" applyFont="1" applyFill="1"/>
    <xf numFmtId="0" fontId="25" fillId="0" borderId="10" xfId="0" applyFont="1" applyBorder="1"/>
    <xf numFmtId="0" fontId="25" fillId="0" borderId="11" xfId="0" applyFont="1" applyBorder="1" applyAlignment="1">
      <alignment horizontal="left"/>
    </xf>
    <xf numFmtId="0" fontId="25" fillId="0" borderId="12" xfId="0" applyFont="1" applyBorder="1"/>
    <xf numFmtId="0" fontId="25" fillId="7" borderId="10" xfId="0" applyFont="1" applyFill="1" applyBorder="1" applyAlignment="1">
      <alignment horizontal="centerContinuous"/>
    </xf>
    <xf numFmtId="0" fontId="30" fillId="7" borderId="11" xfId="0" applyFont="1" applyFill="1" applyBorder="1" applyAlignment="1">
      <alignment horizontal="centerContinuous"/>
    </xf>
    <xf numFmtId="0" fontId="30" fillId="7" borderId="12" xfId="0" applyFont="1" applyFill="1" applyBorder="1" applyAlignment="1">
      <alignment horizontal="centerContinuous"/>
    </xf>
    <xf numFmtId="14" fontId="26" fillId="0" borderId="4" xfId="0" applyNumberFormat="1" applyFont="1" applyBorder="1"/>
    <xf numFmtId="14" fontId="26" fillId="0" borderId="7" xfId="0" applyNumberFormat="1" applyFont="1" applyBorder="1"/>
    <xf numFmtId="14" fontId="26" fillId="0" borderId="5" xfId="0" applyNumberFormat="1" applyFont="1" applyBorder="1"/>
    <xf numFmtId="14" fontId="26" fillId="0" borderId="8" xfId="0" applyNumberFormat="1" applyFont="1" applyBorder="1"/>
    <xf numFmtId="0" fontId="25" fillId="0" borderId="9" xfId="0" applyFont="1" applyBorder="1"/>
    <xf numFmtId="0" fontId="25" fillId="0" borderId="1" xfId="0" applyFont="1" applyBorder="1"/>
    <xf numFmtId="0" fontId="25" fillId="0" borderId="30" xfId="0" applyFont="1" applyBorder="1"/>
    <xf numFmtId="0" fontId="30" fillId="0" borderId="30" xfId="0" applyFont="1" applyBorder="1"/>
    <xf numFmtId="0" fontId="30" fillId="0" borderId="15" xfId="0" applyFont="1" applyBorder="1"/>
    <xf numFmtId="0" fontId="41" fillId="0" borderId="0" xfId="0" applyFont="1"/>
    <xf numFmtId="0" fontId="40" fillId="0" borderId="0" xfId="0" applyFont="1"/>
    <xf numFmtId="0" fontId="40" fillId="0" borderId="9" xfId="0" applyFont="1" applyBorder="1"/>
    <xf numFmtId="0" fontId="25" fillId="0" borderId="2" xfId="0" applyFont="1" applyBorder="1"/>
    <xf numFmtId="0" fontId="30" fillId="0" borderId="16" xfId="0" applyFont="1" applyBorder="1"/>
    <xf numFmtId="0" fontId="29" fillId="0" borderId="0" xfId="0" applyFont="1" applyAlignment="1">
      <alignment horizontal="left" indent="1"/>
    </xf>
    <xf numFmtId="171" fontId="29" fillId="0" borderId="0" xfId="0" applyNumberFormat="1" applyFont="1"/>
    <xf numFmtId="171" fontId="29" fillId="0" borderId="9" xfId="0" applyNumberFormat="1" applyFont="1" applyBorder="1"/>
    <xf numFmtId="171" fontId="40" fillId="0" borderId="0" xfId="1" applyNumberFormat="1" applyFont="1" applyFill="1"/>
    <xf numFmtId="171" fontId="25" fillId="0" borderId="0" xfId="1" applyNumberFormat="1" applyFont="1" applyFill="1"/>
    <xf numFmtId="0" fontId="25" fillId="0" borderId="3" xfId="0" applyFont="1" applyBorder="1"/>
    <xf numFmtId="0" fontId="25" fillId="0" borderId="31" xfId="0" applyFont="1" applyBorder="1"/>
    <xf numFmtId="0" fontId="30" fillId="0" borderId="31" xfId="0" applyFont="1" applyBorder="1"/>
    <xf numFmtId="0" fontId="30" fillId="0" borderId="17" xfId="0" applyFont="1" applyBorder="1"/>
    <xf numFmtId="0" fontId="25" fillId="0" borderId="0" xfId="0" applyFont="1" applyAlignment="1">
      <alignment horizontal="left" indent="2"/>
    </xf>
    <xf numFmtId="171" fontId="25" fillId="0" borderId="0" xfId="0" applyNumberFormat="1" applyFont="1"/>
    <xf numFmtId="171" fontId="25" fillId="0" borderId="9" xfId="0" applyNumberFormat="1" applyFont="1" applyBorder="1"/>
    <xf numFmtId="171" fontId="25" fillId="8" borderId="0" xfId="1" applyNumberFormat="1" applyFont="1" applyFill="1"/>
    <xf numFmtId="171" fontId="40" fillId="0" borderId="0" xfId="0" applyNumberFormat="1" applyFont="1"/>
    <xf numFmtId="171" fontId="40" fillId="0" borderId="9" xfId="0" applyNumberFormat="1" applyFont="1" applyBorder="1"/>
    <xf numFmtId="171" fontId="40" fillId="0" borderId="0" xfId="1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2" fontId="25" fillId="0" borderId="0" xfId="0" applyNumberFormat="1" applyFont="1"/>
    <xf numFmtId="2" fontId="25" fillId="0" borderId="9" xfId="0" applyNumberFormat="1" applyFont="1" applyBorder="1"/>
    <xf numFmtId="173" fontId="25" fillId="0" borderId="0" xfId="0" applyNumberFormat="1" applyFont="1" applyAlignment="1">
      <alignment horizontal="right" vertical="center" wrapText="1"/>
    </xf>
    <xf numFmtId="173" fontId="25" fillId="0" borderId="9" xfId="0" applyNumberFormat="1" applyFont="1" applyBorder="1"/>
    <xf numFmtId="171" fontId="29" fillId="0" borderId="0" xfId="0" applyNumberFormat="1" applyFont="1" applyAlignment="1">
      <alignment horizontal="right" vertical="center" wrapText="1"/>
    </xf>
    <xf numFmtId="171" fontId="29" fillId="0" borderId="0" xfId="1" applyNumberFormat="1" applyFont="1" applyFill="1" applyBorder="1" applyAlignment="1">
      <alignment horizontal="right" vertical="center" wrapText="1"/>
    </xf>
    <xf numFmtId="171" fontId="29" fillId="0" borderId="9" xfId="0" applyNumberFormat="1" applyFont="1" applyBorder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171" fontId="30" fillId="0" borderId="0" xfId="0" applyNumberFormat="1" applyFont="1"/>
    <xf numFmtId="0" fontId="26" fillId="0" borderId="0" xfId="0" applyFont="1" applyAlignment="1">
      <alignment horizontal="left"/>
    </xf>
    <xf numFmtId="0" fontId="25" fillId="0" borderId="0" xfId="0" applyFont="1" applyAlignment="1">
      <alignment horizontal="right" vertical="center" wrapText="1"/>
    </xf>
    <xf numFmtId="0" fontId="30" fillId="0" borderId="2" xfId="0" applyFont="1" applyBorder="1"/>
    <xf numFmtId="0" fontId="30" fillId="0" borderId="3" xfId="0" applyFont="1" applyBorder="1"/>
    <xf numFmtId="171" fontId="29" fillId="0" borderId="9" xfId="1" applyNumberFormat="1" applyFont="1" applyFill="1" applyBorder="1" applyAlignment="1">
      <alignment horizontal="right" vertical="center" wrapText="1"/>
    </xf>
    <xf numFmtId="173" fontId="25" fillId="0" borderId="0" xfId="0" applyNumberFormat="1" applyFont="1"/>
    <xf numFmtId="0" fontId="39" fillId="0" borderId="0" xfId="0" applyFont="1"/>
    <xf numFmtId="0" fontId="26" fillId="0" borderId="13" xfId="0" applyFont="1" applyBorder="1"/>
    <xf numFmtId="0" fontId="26" fillId="0" borderId="14" xfId="0" applyFont="1" applyBorder="1"/>
    <xf numFmtId="0" fontId="42" fillId="0" borderId="0" xfId="0" applyFont="1" applyAlignment="1">
      <alignment horizontal="left" vertical="top" indent="1"/>
    </xf>
    <xf numFmtId="174" fontId="25" fillId="0" borderId="0" xfId="0" applyNumberFormat="1" applyFont="1"/>
    <xf numFmtId="174" fontId="26" fillId="0" borderId="0" xfId="0" applyNumberFormat="1" applyFont="1"/>
    <xf numFmtId="0" fontId="25" fillId="0" borderId="0" xfId="0" applyFont="1" applyAlignment="1">
      <alignment horizontal="left" indent="1"/>
    </xf>
    <xf numFmtId="0" fontId="43" fillId="0" borderId="0" xfId="0" applyFont="1" applyAlignment="1">
      <alignment horizontal="left" vertical="top" indent="2"/>
    </xf>
    <xf numFmtId="9" fontId="25" fillId="0" borderId="0" xfId="1" applyFont="1"/>
    <xf numFmtId="0" fontId="26" fillId="0" borderId="10" xfId="0" applyFont="1" applyBorder="1"/>
    <xf numFmtId="0" fontId="25" fillId="0" borderId="11" xfId="0" applyFont="1" applyBorder="1"/>
    <xf numFmtId="0" fontId="26" fillId="0" borderId="12" xfId="0" applyFont="1" applyBorder="1"/>
    <xf numFmtId="8" fontId="25" fillId="0" borderId="0" xfId="0" applyNumberFormat="1" applyFont="1"/>
    <xf numFmtId="39" fontId="25" fillId="0" borderId="0" xfId="0" applyNumberFormat="1" applyFont="1"/>
    <xf numFmtId="39" fontId="26" fillId="7" borderId="0" xfId="0" applyNumberFormat="1" applyFont="1" applyFill="1"/>
    <xf numFmtId="39" fontId="25" fillId="7" borderId="0" xfId="0" applyNumberFormat="1" applyFont="1" applyFill="1"/>
    <xf numFmtId="39" fontId="26" fillId="0" borderId="4" xfId="0" applyNumberFormat="1" applyFont="1" applyBorder="1"/>
    <xf numFmtId="39" fontId="26" fillId="0" borderId="7" xfId="0" applyNumberFormat="1" applyFont="1" applyBorder="1"/>
    <xf numFmtId="39" fontId="25" fillId="0" borderId="9" xfId="0" applyNumberFormat="1" applyFont="1" applyBorder="1"/>
    <xf numFmtId="175" fontId="25" fillId="0" borderId="2" xfId="0" applyNumberFormat="1" applyFont="1" applyBorder="1"/>
    <xf numFmtId="175" fontId="25" fillId="0" borderId="16" xfId="0" applyNumberFormat="1" applyFont="1" applyBorder="1"/>
    <xf numFmtId="39" fontId="25" fillId="7" borderId="9" xfId="0" applyNumberFormat="1" applyFont="1" applyFill="1" applyBorder="1"/>
    <xf numFmtId="39" fontId="25" fillId="0" borderId="2" xfId="0" applyNumberFormat="1" applyFont="1" applyBorder="1"/>
    <xf numFmtId="10" fontId="25" fillId="0" borderId="16" xfId="1" applyNumberFormat="1" applyFont="1" applyBorder="1"/>
    <xf numFmtId="39" fontId="29" fillId="0" borderId="0" xfId="0" applyNumberFormat="1" applyFont="1"/>
    <xf numFmtId="9" fontId="29" fillId="0" borderId="0" xfId="1" applyFont="1"/>
    <xf numFmtId="9" fontId="29" fillId="0" borderId="9" xfId="1" applyFont="1" applyBorder="1"/>
    <xf numFmtId="175" fontId="25" fillId="0" borderId="0" xfId="0" applyNumberFormat="1" applyFont="1"/>
    <xf numFmtId="175" fontId="25" fillId="8" borderId="20" xfId="0" applyNumberFormat="1" applyFont="1" applyFill="1" applyBorder="1"/>
    <xf numFmtId="175" fontId="25" fillId="8" borderId="21" xfId="0" applyNumberFormat="1" applyFont="1" applyFill="1" applyBorder="1"/>
    <xf numFmtId="175" fontId="26" fillId="0" borderId="20" xfId="0" applyNumberFormat="1" applyFont="1" applyBorder="1"/>
    <xf numFmtId="175" fontId="25" fillId="0" borderId="21" xfId="0" applyNumberFormat="1" applyFont="1" applyBorder="1"/>
    <xf numFmtId="9" fontId="25" fillId="0" borderId="0" xfId="0" applyNumberFormat="1" applyFont="1"/>
    <xf numFmtId="9" fontId="25" fillId="0" borderId="9" xfId="0" applyNumberFormat="1" applyFont="1" applyBorder="1"/>
    <xf numFmtId="175" fontId="26" fillId="8" borderId="20" xfId="0" applyNumberFormat="1" applyFont="1" applyFill="1" applyBorder="1"/>
    <xf numFmtId="172" fontId="25" fillId="8" borderId="21" xfId="0" applyNumberFormat="1" applyFont="1" applyFill="1" applyBorder="1"/>
    <xf numFmtId="175" fontId="25" fillId="0" borderId="3" xfId="0" applyNumberFormat="1" applyFont="1" applyBorder="1"/>
    <xf numFmtId="10" fontId="25" fillId="0" borderId="17" xfId="0" applyNumberFormat="1" applyFont="1" applyBorder="1"/>
    <xf numFmtId="172" fontId="25" fillId="0" borderId="0" xfId="0" applyNumberFormat="1" applyFont="1"/>
    <xf numFmtId="175" fontId="25" fillId="0" borderId="22" xfId="0" applyNumberFormat="1" applyFont="1" applyBorder="1"/>
    <xf numFmtId="176" fontId="25" fillId="0" borderId="6" xfId="0" applyNumberFormat="1" applyFont="1" applyBorder="1"/>
    <xf numFmtId="9" fontId="25" fillId="0" borderId="6" xfId="0" applyNumberFormat="1" applyFont="1" applyBorder="1"/>
    <xf numFmtId="176" fontId="25" fillId="0" borderId="0" xfId="0" applyNumberFormat="1" applyFont="1"/>
    <xf numFmtId="39" fontId="25" fillId="7" borderId="28" xfId="0" applyNumberFormat="1" applyFont="1" applyFill="1" applyBorder="1" applyAlignment="1">
      <alignment horizontal="centerContinuous"/>
    </xf>
    <xf numFmtId="39" fontId="25" fillId="7" borderId="32" xfId="0" applyNumberFormat="1" applyFont="1" applyFill="1" applyBorder="1" applyAlignment="1">
      <alignment horizontal="centerContinuous"/>
    </xf>
    <xf numFmtId="39" fontId="25" fillId="7" borderId="29" xfId="0" applyNumberFormat="1" applyFont="1" applyFill="1" applyBorder="1" applyAlignment="1">
      <alignment horizontal="centerContinuous"/>
    </xf>
    <xf numFmtId="9" fontId="25" fillId="0" borderId="0" xfId="1" applyFont="1" applyBorder="1"/>
    <xf numFmtId="39" fontId="25" fillId="0" borderId="0" xfId="0" applyNumberFormat="1" applyFont="1" applyAlignment="1">
      <alignment horizontal="centerContinuous"/>
    </xf>
    <xf numFmtId="9" fontId="25" fillId="0" borderId="16" xfId="0" applyNumberFormat="1" applyFont="1" applyBorder="1"/>
    <xf numFmtId="10" fontId="25" fillId="0" borderId="0" xfId="0" applyNumberFormat="1" applyFont="1"/>
    <xf numFmtId="175" fontId="26" fillId="11" borderId="20" xfId="0" applyNumberFormat="1" applyFont="1" applyFill="1" applyBorder="1"/>
    <xf numFmtId="172" fontId="25" fillId="11" borderId="33" xfId="0" applyNumberFormat="1" applyFont="1" applyFill="1" applyBorder="1"/>
    <xf numFmtId="39" fontId="25" fillId="11" borderId="33" xfId="0" applyNumberFormat="1" applyFont="1" applyFill="1" applyBorder="1"/>
    <xf numFmtId="172" fontId="25" fillId="11" borderId="21" xfId="0" applyNumberFormat="1" applyFont="1" applyFill="1" applyBorder="1"/>
    <xf numFmtId="39" fontId="25" fillId="0" borderId="3" xfId="0" applyNumberFormat="1" applyFont="1" applyBorder="1"/>
    <xf numFmtId="39" fontId="25" fillId="0" borderId="31" xfId="0" applyNumberFormat="1" applyFont="1" applyBorder="1"/>
    <xf numFmtId="39" fontId="25" fillId="7" borderId="23" xfId="0" applyNumberFormat="1" applyFont="1" applyFill="1" applyBorder="1"/>
    <xf numFmtId="39" fontId="25" fillId="7" borderId="4" xfId="0" applyNumberFormat="1" applyFont="1" applyFill="1" applyBorder="1"/>
    <xf numFmtId="39" fontId="25" fillId="7" borderId="7" xfId="0" applyNumberFormat="1" applyFont="1" applyFill="1" applyBorder="1"/>
    <xf numFmtId="39" fontId="25" fillId="0" borderId="24" xfId="0" applyNumberFormat="1" applyFont="1" applyBorder="1"/>
    <xf numFmtId="10" fontId="25" fillId="0" borderId="9" xfId="0" applyNumberFormat="1" applyFont="1" applyBorder="1"/>
    <xf numFmtId="39" fontId="25" fillId="7" borderId="24" xfId="0" applyNumberFormat="1" applyFont="1" applyFill="1" applyBorder="1"/>
    <xf numFmtId="10" fontId="25" fillId="7" borderId="9" xfId="0" applyNumberFormat="1" applyFont="1" applyFill="1" applyBorder="1"/>
    <xf numFmtId="0" fontId="25" fillId="0" borderId="24" xfId="0" applyFont="1" applyBorder="1"/>
    <xf numFmtId="0" fontId="25" fillId="7" borderId="24" xfId="0" applyFont="1" applyFill="1" applyBorder="1"/>
    <xf numFmtId="6" fontId="25" fillId="0" borderId="9" xfId="0" applyNumberFormat="1" applyFont="1" applyBorder="1"/>
    <xf numFmtId="0" fontId="25" fillId="7" borderId="25" xfId="0" applyFont="1" applyFill="1" applyBorder="1"/>
    <xf numFmtId="0" fontId="25" fillId="7" borderId="5" xfId="0" applyFont="1" applyFill="1" applyBorder="1"/>
    <xf numFmtId="10" fontId="25" fillId="7" borderId="8" xfId="0" applyNumberFormat="1" applyFont="1" applyFill="1" applyBorder="1"/>
    <xf numFmtId="0" fontId="26" fillId="0" borderId="11" xfId="0" applyFont="1" applyBorder="1"/>
    <xf numFmtId="0" fontId="44" fillId="0" borderId="2" xfId="0" applyFont="1" applyBorder="1"/>
    <xf numFmtId="0" fontId="44" fillId="0" borderId="0" xfId="0" applyFont="1"/>
    <xf numFmtId="172" fontId="44" fillId="0" borderId="0" xfId="0" applyNumberFormat="1" applyFont="1"/>
    <xf numFmtId="10" fontId="44" fillId="0" borderId="0" xfId="0" applyNumberFormat="1" applyFont="1"/>
    <xf numFmtId="176" fontId="44" fillId="0" borderId="0" xfId="0" applyNumberFormat="1" applyFont="1"/>
    <xf numFmtId="176" fontId="44" fillId="0" borderId="16" xfId="0" applyNumberFormat="1" applyFont="1" applyBorder="1"/>
    <xf numFmtId="0" fontId="44" fillId="9" borderId="2" xfId="0" applyFont="1" applyFill="1" applyBorder="1"/>
    <xf numFmtId="0" fontId="44" fillId="9" borderId="0" xfId="0" applyFont="1" applyFill="1"/>
    <xf numFmtId="172" fontId="44" fillId="9" borderId="0" xfId="0" applyNumberFormat="1" applyFont="1" applyFill="1"/>
    <xf numFmtId="10" fontId="44" fillId="9" borderId="0" xfId="0" applyNumberFormat="1" applyFont="1" applyFill="1"/>
    <xf numFmtId="176" fontId="44" fillId="9" borderId="0" xfId="0" applyNumberFormat="1" applyFont="1" applyFill="1"/>
    <xf numFmtId="176" fontId="44" fillId="9" borderId="16" xfId="0" applyNumberFormat="1" applyFont="1" applyFill="1" applyBorder="1"/>
    <xf numFmtId="9" fontId="44" fillId="0" borderId="0" xfId="0" applyNumberFormat="1" applyFont="1"/>
    <xf numFmtId="9" fontId="44" fillId="9" borderId="0" xfId="0" applyNumberFormat="1" applyFont="1" applyFill="1"/>
    <xf numFmtId="0" fontId="44" fillId="0" borderId="3" xfId="0" applyFont="1" applyBorder="1"/>
    <xf numFmtId="0" fontId="44" fillId="0" borderId="31" xfId="0" applyFont="1" applyBorder="1"/>
    <xf numFmtId="172" fontId="44" fillId="0" borderId="31" xfId="0" applyNumberFormat="1" applyFont="1" applyBorder="1"/>
    <xf numFmtId="10" fontId="44" fillId="0" borderId="31" xfId="0" applyNumberFormat="1" applyFont="1" applyBorder="1"/>
    <xf numFmtId="176" fontId="44" fillId="0" borderId="31" xfId="0" applyNumberFormat="1" applyFont="1" applyBorder="1"/>
    <xf numFmtId="176" fontId="44" fillId="0" borderId="17" xfId="0" applyNumberFormat="1" applyFont="1" applyBorder="1"/>
    <xf numFmtId="0" fontId="44" fillId="7" borderId="10" xfId="0" applyFont="1" applyFill="1" applyBorder="1"/>
    <xf numFmtId="0" fontId="44" fillId="7" borderId="11" xfId="0" applyFont="1" applyFill="1" applyBorder="1"/>
    <xf numFmtId="172" fontId="44" fillId="7" borderId="11" xfId="0" applyNumberFormat="1" applyFont="1" applyFill="1" applyBorder="1"/>
    <xf numFmtId="10" fontId="44" fillId="7" borderId="11" xfId="0" applyNumberFormat="1" applyFont="1" applyFill="1" applyBorder="1"/>
    <xf numFmtId="176" fontId="44" fillId="7" borderId="11" xfId="0" applyNumberFormat="1" applyFont="1" applyFill="1" applyBorder="1"/>
    <xf numFmtId="176" fontId="44" fillId="7" borderId="12" xfId="0" applyNumberFormat="1" applyFont="1" applyFill="1" applyBorder="1"/>
    <xf numFmtId="0" fontId="44" fillId="0" borderId="1" xfId="0" applyFont="1" applyBorder="1"/>
    <xf numFmtId="172" fontId="44" fillId="0" borderId="30" xfId="0" applyNumberFormat="1" applyFont="1" applyBorder="1"/>
    <xf numFmtId="10" fontId="44" fillId="0" borderId="30" xfId="0" applyNumberFormat="1" applyFont="1" applyBorder="1"/>
    <xf numFmtId="176" fontId="44" fillId="0" borderId="30" xfId="0" applyNumberFormat="1" applyFont="1" applyBorder="1"/>
    <xf numFmtId="176" fontId="44" fillId="0" borderId="15" xfId="0" applyNumberFormat="1" applyFont="1" applyBorder="1"/>
    <xf numFmtId="0" fontId="44" fillId="11" borderId="2" xfId="0" applyFont="1" applyFill="1" applyBorder="1"/>
    <xf numFmtId="172" fontId="44" fillId="11" borderId="0" xfId="0" applyNumberFormat="1" applyFont="1" applyFill="1"/>
    <xf numFmtId="10" fontId="44" fillId="11" borderId="0" xfId="0" applyNumberFormat="1" applyFont="1" applyFill="1"/>
    <xf numFmtId="176" fontId="44" fillId="11" borderId="0" xfId="0" applyNumberFormat="1" applyFont="1" applyFill="1"/>
    <xf numFmtId="176" fontId="44" fillId="11" borderId="16" xfId="0" applyNumberFormat="1" applyFont="1" applyFill="1" applyBorder="1"/>
    <xf numFmtId="0" fontId="44" fillId="11" borderId="3" xfId="0" applyFont="1" applyFill="1" applyBorder="1"/>
    <xf numFmtId="172" fontId="44" fillId="11" borderId="31" xfId="0" applyNumberFormat="1" applyFont="1" applyFill="1" applyBorder="1"/>
    <xf numFmtId="10" fontId="44" fillId="11" borderId="31" xfId="0" applyNumberFormat="1" applyFont="1" applyFill="1" applyBorder="1"/>
    <xf numFmtId="176" fontId="44" fillId="11" borderId="31" xfId="0" applyNumberFormat="1" applyFont="1" applyFill="1" applyBorder="1"/>
    <xf numFmtId="176" fontId="44" fillId="11" borderId="17" xfId="0" applyNumberFormat="1" applyFont="1" applyFill="1" applyBorder="1"/>
    <xf numFmtId="0" fontId="45" fillId="0" borderId="0" xfId="0" applyFont="1"/>
    <xf numFmtId="0" fontId="26" fillId="7" borderId="28" xfId="0" applyFont="1" applyFill="1" applyBorder="1"/>
    <xf numFmtId="0" fontId="25" fillId="7" borderId="29" xfId="0" applyFont="1" applyFill="1" applyBorder="1"/>
    <xf numFmtId="0" fontId="26" fillId="0" borderId="2" xfId="0" applyFont="1" applyBorder="1"/>
    <xf numFmtId="176" fontId="25" fillId="0" borderId="16" xfId="0" applyNumberFormat="1" applyFont="1" applyBorder="1"/>
    <xf numFmtId="6" fontId="25" fillId="0" borderId="16" xfId="0" applyNumberFormat="1" applyFont="1" applyBorder="1"/>
    <xf numFmtId="6" fontId="45" fillId="0" borderId="0" xfId="0" applyNumberFormat="1" applyFont="1"/>
    <xf numFmtId="8" fontId="25" fillId="0" borderId="16" xfId="0" applyNumberFormat="1" applyFont="1" applyBorder="1"/>
    <xf numFmtId="8" fontId="45" fillId="0" borderId="0" xfId="0" applyNumberFormat="1" applyFont="1"/>
    <xf numFmtId="5" fontId="25" fillId="0" borderId="16" xfId="0" applyNumberFormat="1" applyFont="1" applyBorder="1"/>
    <xf numFmtId="5" fontId="45" fillId="0" borderId="0" xfId="0" applyNumberFormat="1" applyFont="1"/>
    <xf numFmtId="0" fontId="26" fillId="0" borderId="26" xfId="0" applyFont="1" applyBorder="1"/>
    <xf numFmtId="8" fontId="25" fillId="0" borderId="27" xfId="0" applyNumberFormat="1" applyFont="1" applyBorder="1"/>
    <xf numFmtId="178" fontId="25" fillId="0" borderId="16" xfId="0" applyNumberFormat="1" applyFont="1" applyBorder="1"/>
    <xf numFmtId="0" fontId="26" fillId="9" borderId="2" xfId="0" applyFont="1" applyFill="1" applyBorder="1"/>
    <xf numFmtId="8" fontId="25" fillId="9" borderId="16" xfId="0" applyNumberFormat="1" applyFont="1" applyFill="1" applyBorder="1"/>
    <xf numFmtId="0" fontId="29" fillId="0" borderId="3" xfId="0" applyFont="1" applyBorder="1"/>
    <xf numFmtId="177" fontId="25" fillId="0" borderId="17" xfId="0" applyNumberFormat="1" applyFont="1" applyBorder="1"/>
    <xf numFmtId="1" fontId="25" fillId="0" borderId="16" xfId="0" applyNumberFormat="1" applyFont="1" applyBorder="1"/>
    <xf numFmtId="179" fontId="25" fillId="0" borderId="16" xfId="0" applyNumberFormat="1" applyFont="1" applyBorder="1"/>
    <xf numFmtId="0" fontId="24" fillId="0" borderId="0" xfId="0" applyFont="1" applyAlignment="1">
      <alignment horizontal="center"/>
    </xf>
    <xf numFmtId="0" fontId="24" fillId="7" borderId="0" xfId="0" applyFont="1" applyFill="1" applyAlignment="1">
      <alignment horizontal="center"/>
    </xf>
    <xf numFmtId="0" fontId="2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7" borderId="0" xfId="0" applyFont="1" applyFill="1"/>
    <xf numFmtId="0" fontId="40" fillId="6" borderId="5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39" fontId="25" fillId="7" borderId="1" xfId="0" applyNumberFormat="1" applyFont="1" applyFill="1" applyBorder="1" applyAlignment="1">
      <alignment horizontal="center"/>
    </xf>
    <xf numFmtId="39" fontId="25" fillId="7" borderId="15" xfId="0" applyNumberFormat="1" applyFont="1" applyFill="1" applyBorder="1" applyAlignment="1">
      <alignment horizontal="center"/>
    </xf>
    <xf numFmtId="39" fontId="25" fillId="8" borderId="18" xfId="0" applyNumberFormat="1" applyFont="1" applyFill="1" applyBorder="1" applyAlignment="1">
      <alignment horizontal="center"/>
    </xf>
    <xf numFmtId="39" fontId="25" fillId="8" borderId="19" xfId="0" applyNumberFormat="1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44" fillId="7" borderId="2" xfId="0" applyFont="1" applyFill="1" applyBorder="1" applyAlignment="1">
      <alignment horizontal="center" vertical="center"/>
    </xf>
    <xf numFmtId="0" fontId="44" fillId="7" borderId="30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</cellXfs>
  <cellStyles count="22">
    <cellStyle name="ChartingText" xfId="15" xr:uid="{00000000-0005-0000-0000-000000000000}"/>
    <cellStyle name="CHPAboveAverage" xfId="16" xr:uid="{00000000-0005-0000-0000-000001000000}"/>
    <cellStyle name="CHPBelowAverage" xfId="16" xr:uid="{00000000-0005-0000-0000-000002000000}"/>
    <cellStyle name="CHPBottom" xfId="16" xr:uid="{00000000-0005-0000-0000-000003000000}"/>
    <cellStyle name="CHPTop" xfId="16" xr:uid="{00000000-0005-0000-0000-000004000000}"/>
    <cellStyle name="ColumnHeaderNormal" xfId="7" xr:uid="{00000000-0005-0000-0000-000005000000}"/>
    <cellStyle name="Invisible" xfId="14" xr:uid="{00000000-0005-0000-0000-000006000000}"/>
    <cellStyle name="Invisible 2" xfId="18" xr:uid="{00000000-0005-0000-0000-000007000000}"/>
    <cellStyle name="NewColumnHeaderNormal" xfId="5" xr:uid="{00000000-0005-0000-0000-000008000000}"/>
    <cellStyle name="NewSectionHeaderNormal" xfId="4" xr:uid="{00000000-0005-0000-0000-000009000000}"/>
    <cellStyle name="NewTitleNormal" xfId="3" xr:uid="{00000000-0005-0000-0000-00000A000000}"/>
    <cellStyle name="Normal" xfId="0" builtinId="0"/>
    <cellStyle name="Normal 2" xfId="17" xr:uid="{00000000-0005-0000-0000-00000C000000}"/>
    <cellStyle name="Percent" xfId="1" builtinId="5"/>
    <cellStyle name="SectionHeaderNormal" xfId="6" xr:uid="{00000000-0005-0000-0000-00000E000000}"/>
    <cellStyle name="SubScript" xfId="10" xr:uid="{00000000-0005-0000-0000-00000F000000}"/>
    <cellStyle name="SuperScript" xfId="9" xr:uid="{00000000-0005-0000-0000-000010000000}"/>
    <cellStyle name="TextBold" xfId="11" xr:uid="{00000000-0005-0000-0000-000011000000}"/>
    <cellStyle name="TextItalic" xfId="12" xr:uid="{00000000-0005-0000-0000-000012000000}"/>
    <cellStyle name="TextNormal" xfId="8" xr:uid="{00000000-0005-0000-0000-000013000000}"/>
    <cellStyle name="TitleNormal" xfId="2" xr:uid="{00000000-0005-0000-0000-000014000000}"/>
    <cellStyle name="Total" xfId="1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993366"/>
      <rgbColor rgb="00F5F5E1"/>
      <rgbColor rgb="00004080"/>
    </indexedColors>
    <mruColors>
      <color rgb="FF73C7E8"/>
      <color rgb="FF00CCFF"/>
      <color rgb="FF61E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3</xdr:row>
      <xdr:rowOff>82550</xdr:rowOff>
    </xdr:from>
    <xdr:to>
      <xdr:col>8</xdr:col>
      <xdr:colOff>127000</xdr:colOff>
      <xdr:row>16</xdr:row>
      <xdr:rowOff>6350</xdr:rowOff>
    </xdr:to>
    <xdr:pic>
      <xdr:nvPicPr>
        <xdr:cNvPr id="2" name="Picture 1" descr="Intercontinental Exchange Reports October 2023 Statistics • Disaster  Recovery Journal">
          <a:extLst>
            <a:ext uri="{FF2B5EF4-FFF2-40B4-BE49-F238E27FC236}">
              <a16:creationId xmlns:a16="http://schemas.microsoft.com/office/drawing/2014/main" id="{A2404B7B-9042-75DE-BA52-EE1AB140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200" y="520700"/>
          <a:ext cx="3149600" cy="157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workbookViewId="0">
      <selection activeCell="L39" sqref="L39"/>
    </sheetView>
  </sheetViews>
  <sheetFormatPr defaultRowHeight="10" x14ac:dyDescent="0.2"/>
  <sheetData>
    <row r="1" spans="1:11" ht="14.5" x14ac:dyDescent="0.3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x14ac:dyDescent="0.2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x14ac:dyDescent="0.2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x14ac:dyDescent="0.2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x14ac:dyDescent="0.2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</row>
    <row r="8" spans="1:11" x14ac:dyDescent="0.2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x14ac:dyDescent="0.2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x14ac:dyDescent="0.2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</row>
    <row r="11" spans="1:11" x14ac:dyDescent="0.2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</row>
    <row r="12" spans="1:11" x14ac:dyDescent="0.2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x14ac:dyDescent="0.2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1:11" x14ac:dyDescent="0.2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1" x14ac:dyDescent="0.2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</row>
    <row r="16" spans="1:11" x14ac:dyDescent="0.2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1:11" x14ac:dyDescent="0.2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  <row r="18" spans="1:11" x14ac:dyDescent="0.2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</row>
    <row r="19" spans="1:11" ht="15.5" x14ac:dyDescent="0.35">
      <c r="A19" s="256" t="s">
        <v>356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</row>
    <row r="20" spans="1:11" ht="15.5" x14ac:dyDescent="0.35">
      <c r="A20" s="257" t="s">
        <v>357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5.5" x14ac:dyDescent="0.35">
      <c r="A21" s="253" t="s">
        <v>358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</row>
    <row r="22" spans="1:11" ht="15.5" x14ac:dyDescent="0.35">
      <c r="A22" s="253" t="s">
        <v>359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ht="15.5" x14ac:dyDescent="0.35">
      <c r="A23" s="253" t="s">
        <v>391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</row>
    <row r="24" spans="1:11" ht="15.5" x14ac:dyDescent="0.35">
      <c r="A24" s="253" t="s">
        <v>392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</row>
    <row r="25" spans="1:11" ht="15.5" x14ac:dyDescent="0.3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  <row r="26" spans="1:11" ht="15.5" x14ac:dyDescent="0.35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</row>
  </sheetData>
  <mergeCells count="26">
    <mergeCell ref="A13:K13"/>
    <mergeCell ref="A14:K14"/>
    <mergeCell ref="A15:K15"/>
    <mergeCell ref="A16:K16"/>
    <mergeCell ref="A17:K17"/>
    <mergeCell ref="A1:K1"/>
    <mergeCell ref="A2:K2"/>
    <mergeCell ref="A3:K3"/>
    <mergeCell ref="A4:K4"/>
    <mergeCell ref="A5:K5"/>
    <mergeCell ref="A23:K23"/>
    <mergeCell ref="A24:K24"/>
    <mergeCell ref="A25:K25"/>
    <mergeCell ref="A26:K26"/>
    <mergeCell ref="A6:K6"/>
    <mergeCell ref="A19:K19"/>
    <mergeCell ref="A20:K20"/>
    <mergeCell ref="A21:K21"/>
    <mergeCell ref="A22:K22"/>
    <mergeCell ref="A18:K18"/>
    <mergeCell ref="A7:K7"/>
    <mergeCell ref="A8:K8"/>
    <mergeCell ref="A9:K9"/>
    <mergeCell ref="A10:K10"/>
    <mergeCell ref="A11:K11"/>
    <mergeCell ref="A12:K1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52"/>
  <sheetViews>
    <sheetView showGridLines="0" tabSelected="1" zoomScale="74" zoomScaleNormal="100" workbookViewId="0">
      <selection activeCell="P36" sqref="P36"/>
    </sheetView>
  </sheetViews>
  <sheetFormatPr defaultRowHeight="10" x14ac:dyDescent="0.2"/>
  <cols>
    <col min="2" max="2" width="18.54296875" bestFit="1" customWidth="1"/>
    <col min="3" max="13" width="12.453125" bestFit="1" customWidth="1"/>
    <col min="15" max="15" width="26.1796875" bestFit="1" customWidth="1"/>
    <col min="16" max="16" width="11.1796875" bestFit="1" customWidth="1"/>
    <col min="18" max="18" width="25.7265625" bestFit="1" customWidth="1"/>
    <col min="19" max="19" width="12.1796875" bestFit="1" customWidth="1"/>
  </cols>
  <sheetData>
    <row r="1" spans="1:22" ht="14.5" x14ac:dyDescent="0.35">
      <c r="A1" s="23"/>
      <c r="B1" s="15" t="s">
        <v>337</v>
      </c>
      <c r="C1" s="15"/>
      <c r="D1" s="1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2" ht="15" thickBot="1" x14ac:dyDescent="0.4">
      <c r="A2" s="23"/>
      <c r="B2" s="16" t="s">
        <v>378</v>
      </c>
      <c r="C2" s="15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2" ht="15" thickBot="1" x14ac:dyDescent="0.4">
      <c r="A3" s="23"/>
      <c r="B3" s="131" t="s">
        <v>379</v>
      </c>
      <c r="C3" s="132">
        <f>Master!C9</f>
        <v>2</v>
      </c>
      <c r="D3" s="133" t="str">
        <f>Master!D9</f>
        <v>Bull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2" ht="14.5" x14ac:dyDescent="0.35">
      <c r="A4" s="23"/>
      <c r="B4" s="15" t="s">
        <v>374</v>
      </c>
      <c r="C4" s="134">
        <f>Master!C7</f>
        <v>108.66</v>
      </c>
      <c r="D4" s="14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2" ht="14.5" x14ac:dyDescent="0.35">
      <c r="A5" s="23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2"/>
      <c r="V5" s="12"/>
    </row>
    <row r="6" spans="1:22" ht="14.5" x14ac:dyDescent="0.35">
      <c r="A6" s="135"/>
      <c r="B6" s="136" t="s">
        <v>355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5"/>
      <c r="U6" s="12"/>
      <c r="V6" s="12"/>
    </row>
    <row r="7" spans="1:22" ht="15" thickBot="1" x14ac:dyDescent="0.4">
      <c r="A7" s="135"/>
      <c r="B7" s="135"/>
      <c r="C7" s="138" t="str">
        <f>"FY"&amp;YEAR(C8)</f>
        <v>FY2018</v>
      </c>
      <c r="D7" s="138" t="str">
        <f t="shared" ref="D7:M7" si="0">"FY"&amp;YEAR(D8)</f>
        <v>FY2019</v>
      </c>
      <c r="E7" s="138" t="str">
        <f t="shared" si="0"/>
        <v>FY2020</v>
      </c>
      <c r="F7" s="138" t="str">
        <f t="shared" si="0"/>
        <v>FY2021</v>
      </c>
      <c r="G7" s="139" t="str">
        <f t="shared" si="0"/>
        <v>FY2022</v>
      </c>
      <c r="H7" s="138" t="str">
        <f t="shared" si="0"/>
        <v>FY2023</v>
      </c>
      <c r="I7" s="138" t="str">
        <f t="shared" si="0"/>
        <v>FY2024</v>
      </c>
      <c r="J7" s="138" t="str">
        <f t="shared" si="0"/>
        <v>FY2025</v>
      </c>
      <c r="K7" s="138" t="str">
        <f t="shared" si="0"/>
        <v>FY2026</v>
      </c>
      <c r="L7" s="138" t="str">
        <f t="shared" si="0"/>
        <v>FY2027</v>
      </c>
      <c r="M7" s="138" t="str">
        <f t="shared" si="0"/>
        <v>FY2028</v>
      </c>
      <c r="N7" s="135"/>
      <c r="O7" s="23"/>
      <c r="P7" s="23"/>
      <c r="Q7" s="23"/>
      <c r="R7" s="23"/>
      <c r="S7" s="23"/>
      <c r="T7" s="135"/>
      <c r="U7" s="12"/>
      <c r="V7" s="12"/>
    </row>
    <row r="8" spans="1:22" ht="14.5" x14ac:dyDescent="0.35">
      <c r="A8" s="135"/>
      <c r="B8" s="135"/>
      <c r="C8" s="77">
        <v>43465</v>
      </c>
      <c r="D8" s="77">
        <v>43830</v>
      </c>
      <c r="E8" s="77">
        <v>44196</v>
      </c>
      <c r="F8" s="77">
        <v>44561</v>
      </c>
      <c r="G8" s="78">
        <v>44926</v>
      </c>
      <c r="H8" s="77">
        <v>45291</v>
      </c>
      <c r="I8" s="77">
        <v>45657</v>
      </c>
      <c r="J8" s="77">
        <v>46022</v>
      </c>
      <c r="K8" s="77">
        <v>46387</v>
      </c>
      <c r="L8" s="77">
        <v>46752</v>
      </c>
      <c r="M8" s="77">
        <v>47118</v>
      </c>
      <c r="N8" s="135"/>
      <c r="O8" s="262" t="s">
        <v>255</v>
      </c>
      <c r="P8" s="263"/>
      <c r="Q8" s="25"/>
      <c r="R8" s="262" t="s">
        <v>255</v>
      </c>
      <c r="S8" s="263"/>
      <c r="T8" s="135"/>
      <c r="U8" s="12"/>
      <c r="V8" s="12"/>
    </row>
    <row r="9" spans="1:22" ht="14.5" x14ac:dyDescent="0.35">
      <c r="A9" s="135"/>
      <c r="B9" s="135" t="s">
        <v>179</v>
      </c>
      <c r="C9" s="135"/>
      <c r="D9" s="135"/>
      <c r="E9" s="135"/>
      <c r="F9" s="135"/>
      <c r="G9" s="140"/>
      <c r="H9" s="135">
        <f t="shared" ref="H9" ca="1" si="1">YEARFRAC(TODAY(),H8)</f>
        <v>0.13055555555555556</v>
      </c>
      <c r="I9" s="135">
        <v>1</v>
      </c>
      <c r="J9" s="135">
        <v>1</v>
      </c>
      <c r="K9" s="135">
        <v>1</v>
      </c>
      <c r="L9" s="135">
        <v>1</v>
      </c>
      <c r="M9" s="135">
        <v>1</v>
      </c>
      <c r="N9" s="135"/>
      <c r="O9" s="264" t="s">
        <v>325</v>
      </c>
      <c r="P9" s="265"/>
      <c r="Q9" s="135"/>
      <c r="R9" s="264" t="s">
        <v>269</v>
      </c>
      <c r="S9" s="265"/>
      <c r="T9" s="135"/>
      <c r="U9" s="12"/>
      <c r="V9" s="12"/>
    </row>
    <row r="10" spans="1:22" ht="14.5" x14ac:dyDescent="0.35">
      <c r="A10" s="135"/>
      <c r="B10" s="135" t="s">
        <v>180</v>
      </c>
      <c r="C10" s="135"/>
      <c r="D10" s="135"/>
      <c r="E10" s="135"/>
      <c r="F10" s="135"/>
      <c r="G10" s="140"/>
      <c r="H10" s="135">
        <f ca="1">H9/2</f>
        <v>6.5277777777777782E-2</v>
      </c>
      <c r="I10" s="135">
        <f ca="1">SUM(($H$9:I9))-0.5</f>
        <v>0.63055555555555554</v>
      </c>
      <c r="J10" s="135">
        <f ca="1">SUM(($H$9:J9))-0.5</f>
        <v>1.6305555555555555</v>
      </c>
      <c r="K10" s="135">
        <f ca="1">SUM(($H$9:K9))-0.5</f>
        <v>2.6305555555555555</v>
      </c>
      <c r="L10" s="135">
        <f ca="1">SUM(($H$9:L9))-0.5</f>
        <v>3.6305555555555555</v>
      </c>
      <c r="M10" s="135">
        <f ca="1">SUM(($H$9:M9))-0.5</f>
        <v>4.6305555555555555</v>
      </c>
      <c r="N10" s="135"/>
      <c r="O10" s="141" t="s">
        <v>253</v>
      </c>
      <c r="P10" s="142">
        <f>M33</f>
        <v>6845.7836160557072</v>
      </c>
      <c r="Q10" s="135"/>
      <c r="R10" s="141" t="s">
        <v>264</v>
      </c>
      <c r="S10" s="142">
        <f>M22</f>
        <v>8018.065427251212</v>
      </c>
      <c r="T10" s="135"/>
      <c r="U10" s="12"/>
      <c r="V10" s="12"/>
    </row>
    <row r="11" spans="1:22" ht="14.5" x14ac:dyDescent="0.35">
      <c r="A11" s="135"/>
      <c r="B11" s="137" t="s">
        <v>32</v>
      </c>
      <c r="C11" s="137">
        <f>Drivers!D29</f>
        <v>4979</v>
      </c>
      <c r="D11" s="137">
        <f>Drivers!E29</f>
        <v>5202</v>
      </c>
      <c r="E11" s="137">
        <f>Drivers!F29</f>
        <v>6036</v>
      </c>
      <c r="F11" s="137">
        <f>Drivers!G29</f>
        <v>7146</v>
      </c>
      <c r="G11" s="143">
        <f>Drivers!H29</f>
        <v>7292</v>
      </c>
      <c r="H11" s="137">
        <f>SUM(H13:H17)</f>
        <v>8021.2000000000007</v>
      </c>
      <c r="I11" s="137">
        <f>SUM(I13:I17)</f>
        <v>8868.1357325000008</v>
      </c>
      <c r="J11" s="137">
        <f t="shared" ref="J11:M11" si="2">SUM(J13:J17)</f>
        <v>9589.9242547624999</v>
      </c>
      <c r="K11" s="137">
        <f t="shared" si="2"/>
        <v>10402.013546517315</v>
      </c>
      <c r="L11" s="137">
        <f t="shared" si="2"/>
        <v>11300.751745383785</v>
      </c>
      <c r="M11" s="137">
        <f t="shared" si="2"/>
        <v>12297.646360814742</v>
      </c>
      <c r="N11" s="135"/>
      <c r="O11" s="144" t="s">
        <v>254</v>
      </c>
      <c r="P11" s="145">
        <v>0.03</v>
      </c>
      <c r="Q11" s="135"/>
      <c r="R11" s="144" t="s">
        <v>265</v>
      </c>
      <c r="S11" s="252">
        <v>17</v>
      </c>
      <c r="T11" s="135"/>
      <c r="U11" s="12"/>
      <c r="V11" s="12"/>
    </row>
    <row r="12" spans="1:22" ht="14.5" x14ac:dyDescent="0.35">
      <c r="A12" s="135"/>
      <c r="B12" s="146" t="s">
        <v>181</v>
      </c>
      <c r="C12" s="146"/>
      <c r="D12" s="147">
        <f t="shared" ref="D12:M12" si="3">D11/C11-1</f>
        <v>4.4788110062261577E-2</v>
      </c>
      <c r="E12" s="147">
        <f t="shared" si="3"/>
        <v>0.1603229527104959</v>
      </c>
      <c r="F12" s="147">
        <f t="shared" si="3"/>
        <v>0.18389662027833009</v>
      </c>
      <c r="G12" s="148">
        <f t="shared" si="3"/>
        <v>2.0431010355443702E-2</v>
      </c>
      <c r="H12" s="147">
        <f t="shared" si="3"/>
        <v>0.10000000000000009</v>
      </c>
      <c r="I12" s="147">
        <f t="shared" si="3"/>
        <v>0.10558716058694451</v>
      </c>
      <c r="J12" s="147">
        <f t="shared" si="3"/>
        <v>8.1391235321002675E-2</v>
      </c>
      <c r="K12" s="147">
        <f t="shared" si="3"/>
        <v>8.4681512614817489E-2</v>
      </c>
      <c r="L12" s="147">
        <f t="shared" si="3"/>
        <v>8.6400406502775029E-2</v>
      </c>
      <c r="M12" s="147">
        <f t="shared" si="3"/>
        <v>8.821489383112735E-2</v>
      </c>
      <c r="N12" s="135"/>
      <c r="O12" s="141" t="s">
        <v>255</v>
      </c>
      <c r="P12" s="142">
        <f>P10/(D51-P11)</f>
        <v>116368.14619481697</v>
      </c>
      <c r="Q12" s="149"/>
      <c r="R12" s="141" t="s">
        <v>255</v>
      </c>
      <c r="S12" s="142">
        <f>S10*S11</f>
        <v>136307.1122632706</v>
      </c>
      <c r="T12" s="135"/>
      <c r="U12" s="12"/>
      <c r="V12" s="12"/>
    </row>
    <row r="13" spans="1:22" ht="14.5" x14ac:dyDescent="0.35">
      <c r="A13" s="135"/>
      <c r="B13" s="135" t="s">
        <v>248</v>
      </c>
      <c r="C13" s="135">
        <f>Drivers!D31</f>
        <v>4573</v>
      </c>
      <c r="D13" s="135">
        <f>Drivers!E31</f>
        <v>4652</v>
      </c>
      <c r="E13" s="135">
        <f>Drivers!F31</f>
        <v>5839</v>
      </c>
      <c r="F13" s="135">
        <f>Drivers!G31</f>
        <v>5878</v>
      </c>
      <c r="G13" s="140">
        <f>Drivers!H31</f>
        <v>6415</v>
      </c>
      <c r="H13" s="135">
        <f>Drivers!I31</f>
        <v>7056.5000000000009</v>
      </c>
      <c r="I13" s="135">
        <f>(1+Drivers!J32)*DCF!H13</f>
        <v>7656.3025000000007</v>
      </c>
      <c r="J13" s="135">
        <f>(1+Drivers!K32)*DCF!I13</f>
        <v>8307.0882125000007</v>
      </c>
      <c r="K13" s="135">
        <f>(1+Drivers!L32)*DCF!J13</f>
        <v>9013.1907105625014</v>
      </c>
      <c r="L13" s="135">
        <f>(1+Drivers!M32)*DCF!K13</f>
        <v>9779.3119209603137</v>
      </c>
      <c r="M13" s="135">
        <f>(1+Drivers!N32)*DCF!L13</f>
        <v>10610.55343424194</v>
      </c>
      <c r="N13" s="135"/>
      <c r="O13" s="150" t="s">
        <v>256</v>
      </c>
      <c r="P13" s="151">
        <f ca="1">P12/(1+D51)^M10</f>
        <v>78467.690618417386</v>
      </c>
      <c r="Q13" s="149"/>
      <c r="R13" s="150" t="s">
        <v>256</v>
      </c>
      <c r="S13" s="151">
        <f ca="1">S12/(1+D51)^M10</f>
        <v>91912.6467500656</v>
      </c>
      <c r="T13" s="135"/>
      <c r="U13" s="12"/>
      <c r="V13" s="12"/>
    </row>
    <row r="14" spans="1:22" ht="14.5" x14ac:dyDescent="0.35">
      <c r="A14" s="135"/>
      <c r="B14" s="135" t="s">
        <v>247</v>
      </c>
      <c r="C14" s="135">
        <f>Drivers!D37</f>
        <v>1681</v>
      </c>
      <c r="D14" s="135">
        <f>Drivers!E37</f>
        <v>1756</v>
      </c>
      <c r="E14" s="135">
        <f>Drivers!F37</f>
        <v>1810</v>
      </c>
      <c r="F14" s="135">
        <f>Drivers!G37</f>
        <v>1883</v>
      </c>
      <c r="G14" s="140">
        <f>Drivers!H37</f>
        <v>2092</v>
      </c>
      <c r="H14" s="135">
        <f>Drivers!I37</f>
        <v>2301.2000000000003</v>
      </c>
      <c r="I14" s="135">
        <f>(1+Drivers!J38)*H14</f>
        <v>2473.7900000000004</v>
      </c>
      <c r="J14" s="135">
        <f>(1+Drivers!K38)*I14</f>
        <v>2659.3242500000001</v>
      </c>
      <c r="K14" s="135">
        <f>(1+Drivers!L38)*J14</f>
        <v>2858.7735687499999</v>
      </c>
      <c r="L14" s="135">
        <f>(1+Drivers!M38)*K14</f>
        <v>3073.1815864062496</v>
      </c>
      <c r="M14" s="135">
        <f>(1+Drivers!N38)*L14</f>
        <v>3303.6702053867184</v>
      </c>
      <c r="N14" s="135"/>
      <c r="O14" s="141" t="s">
        <v>257</v>
      </c>
      <c r="P14" s="142">
        <f ca="1">SUM(H35:M35)</f>
        <v>22390.853638842866</v>
      </c>
      <c r="Q14" s="149"/>
      <c r="R14" s="141" t="s">
        <v>257</v>
      </c>
      <c r="S14" s="142">
        <f ca="1">SUM(H35:M35)</f>
        <v>22390.853638842866</v>
      </c>
      <c r="T14" s="135"/>
      <c r="U14" s="12"/>
      <c r="V14" s="12"/>
    </row>
    <row r="15" spans="1:22" ht="14.5" x14ac:dyDescent="0.35">
      <c r="A15" s="135"/>
      <c r="B15" s="135" t="s">
        <v>249</v>
      </c>
      <c r="C15" s="135">
        <f>Drivers!D42</f>
        <v>22</v>
      </c>
      <c r="D15" s="135">
        <f>Drivers!E42</f>
        <v>139</v>
      </c>
      <c r="E15" s="135">
        <f>Drivers!F42</f>
        <v>595</v>
      </c>
      <c r="F15" s="135">
        <f>Drivers!G42</f>
        <v>1407</v>
      </c>
      <c r="G15" s="140">
        <f>Drivers!H42</f>
        <v>1129</v>
      </c>
      <c r="H15" s="135">
        <f>Drivers!I42</f>
        <v>1241.9000000000001</v>
      </c>
      <c r="I15" s="135">
        <f>(1+Drivers!J43)*H15</f>
        <v>1453.0229999999999</v>
      </c>
      <c r="J15" s="135">
        <f>(1+Drivers!K43)*I15</f>
        <v>1569.26484</v>
      </c>
      <c r="K15" s="135">
        <f>(1+Drivers!L43)*J15</f>
        <v>1726.1913240000001</v>
      </c>
      <c r="L15" s="135">
        <f>(1+Drivers!M43)*K15</f>
        <v>1916.0723696400003</v>
      </c>
      <c r="M15" s="135">
        <f>(1+Drivers!N43)*L15</f>
        <v>2146.0010539968007</v>
      </c>
      <c r="N15" s="135"/>
      <c r="O15" s="141" t="s">
        <v>256</v>
      </c>
      <c r="P15" s="142">
        <f ca="1">P13</f>
        <v>78467.690618417386</v>
      </c>
      <c r="Q15" s="149"/>
      <c r="R15" s="141" t="s">
        <v>256</v>
      </c>
      <c r="S15" s="142">
        <f ca="1">S13</f>
        <v>91912.6467500656</v>
      </c>
      <c r="T15" s="135"/>
      <c r="U15" s="12"/>
      <c r="V15" s="12"/>
    </row>
    <row r="16" spans="1:22" ht="14.5" x14ac:dyDescent="0.35">
      <c r="A16" s="135"/>
      <c r="B16" s="135" t="s">
        <v>250</v>
      </c>
      <c r="C16" s="135">
        <f>Drivers!D47</f>
        <v>-357</v>
      </c>
      <c r="D16" s="135">
        <f>Drivers!E47</f>
        <v>-379</v>
      </c>
      <c r="E16" s="135">
        <f>Drivers!F47</f>
        <v>-622</v>
      </c>
      <c r="F16" s="135">
        <f>Drivers!G47</f>
        <v>-248</v>
      </c>
      <c r="G16" s="140">
        <f>Drivers!H47</f>
        <v>-499</v>
      </c>
      <c r="H16" s="135">
        <f>Drivers!I47</f>
        <v>-548.90000000000009</v>
      </c>
      <c r="I16" s="135">
        <f>(I13*Drivers!J49)</f>
        <v>-512.97226750000004</v>
      </c>
      <c r="J16" s="135">
        <f>(J13*Drivers!K49)</f>
        <v>-556.57491023750003</v>
      </c>
      <c r="K16" s="135">
        <f>(K13*Drivers!L49)</f>
        <v>-603.88377760768765</v>
      </c>
      <c r="L16" s="135">
        <f>(L13*Drivers!M49)</f>
        <v>-655.21389870434109</v>
      </c>
      <c r="M16" s="135">
        <f>(M13*Drivers!N49)</f>
        <v>-710.90708009420996</v>
      </c>
      <c r="N16" s="135"/>
      <c r="O16" s="152" t="s">
        <v>258</v>
      </c>
      <c r="P16" s="153">
        <f ca="1">SUM(P14:P15)</f>
        <v>100858.54425726025</v>
      </c>
      <c r="Q16" s="149"/>
      <c r="R16" s="152" t="s">
        <v>258</v>
      </c>
      <c r="S16" s="153">
        <f ca="1">SUM(S14:S15)</f>
        <v>114303.50038890846</v>
      </c>
      <c r="T16" s="135"/>
      <c r="U16" s="12"/>
      <c r="V16" s="12"/>
    </row>
    <row r="17" spans="1:22" ht="14.5" x14ac:dyDescent="0.35">
      <c r="A17" s="135"/>
      <c r="B17" s="135" t="s">
        <v>251</v>
      </c>
      <c r="C17" s="135">
        <f>Drivers!D53</f>
        <v>-940</v>
      </c>
      <c r="D17" s="135">
        <f>Drivers!E53</f>
        <v>-966</v>
      </c>
      <c r="E17" s="135">
        <f>Drivers!F53</f>
        <v>-1586</v>
      </c>
      <c r="F17" s="135">
        <f>Drivers!G53</f>
        <v>-1774</v>
      </c>
      <c r="G17" s="140">
        <f>Drivers!H53</f>
        <v>-1845</v>
      </c>
      <c r="H17" s="135">
        <f>Drivers!I53</f>
        <v>-2029.5000000000002</v>
      </c>
      <c r="I17" s="135">
        <f>(1+Drivers!J54)*DCF!H17</f>
        <v>-2202.0075000000002</v>
      </c>
      <c r="J17" s="135">
        <f>(1+Drivers!K54)*DCF!I17</f>
        <v>-2389.1781375</v>
      </c>
      <c r="K17" s="135">
        <f>(1+Drivers!L54)*DCF!J17</f>
        <v>-2592.2582791875002</v>
      </c>
      <c r="L17" s="135">
        <f>(1+Drivers!M54)*DCF!K17</f>
        <v>-2812.6002329184375</v>
      </c>
      <c r="M17" s="135">
        <f>(1+Drivers!N54)*DCF!L17</f>
        <v>-3051.6712527165046</v>
      </c>
      <c r="N17" s="135"/>
      <c r="O17" s="141" t="s">
        <v>259</v>
      </c>
      <c r="P17" s="142">
        <f>D48</f>
        <v>23299</v>
      </c>
      <c r="Q17" s="149"/>
      <c r="R17" s="141" t="s">
        <v>259</v>
      </c>
      <c r="S17" s="142">
        <f>D48</f>
        <v>23299</v>
      </c>
      <c r="T17" s="135"/>
      <c r="U17" s="12"/>
      <c r="V17" s="12"/>
    </row>
    <row r="18" spans="1:22" ht="14.5" x14ac:dyDescent="0.35">
      <c r="A18" s="135"/>
      <c r="B18" s="135" t="s">
        <v>182</v>
      </c>
      <c r="C18" s="135">
        <v>0</v>
      </c>
      <c r="D18" s="135">
        <v>0</v>
      </c>
      <c r="E18" s="135">
        <v>0</v>
      </c>
      <c r="F18" s="135">
        <v>0</v>
      </c>
      <c r="G18" s="140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/>
      <c r="O18" s="141" t="s">
        <v>260</v>
      </c>
      <c r="P18" s="142">
        <f>'Balance Sheet'!G18</f>
        <v>2877</v>
      </c>
      <c r="Q18" s="149"/>
      <c r="R18" s="141" t="s">
        <v>260</v>
      </c>
      <c r="S18" s="142">
        <f>'Balance Sheet'!G18</f>
        <v>2877</v>
      </c>
      <c r="T18" s="135"/>
      <c r="U18" s="12"/>
      <c r="V18" s="12"/>
    </row>
    <row r="19" spans="1:22" ht="14.5" x14ac:dyDescent="0.35">
      <c r="A19" s="135"/>
      <c r="B19" s="135" t="s">
        <v>183</v>
      </c>
      <c r="C19" s="135">
        <f t="shared" ref="C19:M19" si="4">C11-C18</f>
        <v>4979</v>
      </c>
      <c r="D19" s="135">
        <f t="shared" si="4"/>
        <v>5202</v>
      </c>
      <c r="E19" s="135">
        <f t="shared" si="4"/>
        <v>6036</v>
      </c>
      <c r="F19" s="135">
        <f t="shared" si="4"/>
        <v>7146</v>
      </c>
      <c r="G19" s="140">
        <f t="shared" si="4"/>
        <v>7292</v>
      </c>
      <c r="H19" s="135">
        <f t="shared" si="4"/>
        <v>8021.2000000000007</v>
      </c>
      <c r="I19" s="135">
        <f t="shared" si="4"/>
        <v>8868.1357325000008</v>
      </c>
      <c r="J19" s="135">
        <f t="shared" si="4"/>
        <v>9589.9242547624999</v>
      </c>
      <c r="K19" s="135">
        <f t="shared" si="4"/>
        <v>10402.013546517315</v>
      </c>
      <c r="L19" s="135">
        <f t="shared" si="4"/>
        <v>11300.751745383785</v>
      </c>
      <c r="M19" s="135">
        <f t="shared" si="4"/>
        <v>12297.646360814742</v>
      </c>
      <c r="N19" s="135"/>
      <c r="O19" s="141" t="s">
        <v>261</v>
      </c>
      <c r="P19" s="142">
        <f ca="1">P16-P17+P18</f>
        <v>80436.544257260248</v>
      </c>
      <c r="Q19" s="149"/>
      <c r="R19" s="141" t="s">
        <v>261</v>
      </c>
      <c r="S19" s="142">
        <f ca="1">S16-S17+S18</f>
        <v>93881.500388908462</v>
      </c>
      <c r="T19" s="135"/>
      <c r="U19" s="12"/>
      <c r="V19" s="12"/>
    </row>
    <row r="20" spans="1:22" ht="14.5" x14ac:dyDescent="0.35">
      <c r="A20" s="135"/>
      <c r="B20" s="135" t="s">
        <v>184</v>
      </c>
      <c r="C20" s="154">
        <f t="shared" ref="C20:M20" si="5">C19/C11</f>
        <v>1</v>
      </c>
      <c r="D20" s="154">
        <f t="shared" si="5"/>
        <v>1</v>
      </c>
      <c r="E20" s="154">
        <f t="shared" si="5"/>
        <v>1</v>
      </c>
      <c r="F20" s="154">
        <f t="shared" si="5"/>
        <v>1</v>
      </c>
      <c r="G20" s="155">
        <f t="shared" si="5"/>
        <v>1</v>
      </c>
      <c r="H20" s="154">
        <f t="shared" si="5"/>
        <v>1</v>
      </c>
      <c r="I20" s="154">
        <f t="shared" si="5"/>
        <v>1</v>
      </c>
      <c r="J20" s="154">
        <f t="shared" si="5"/>
        <v>1</v>
      </c>
      <c r="K20" s="154">
        <f t="shared" si="5"/>
        <v>1</v>
      </c>
      <c r="L20" s="154">
        <f t="shared" si="5"/>
        <v>1</v>
      </c>
      <c r="M20" s="154">
        <f t="shared" si="5"/>
        <v>1</v>
      </c>
      <c r="N20" s="135"/>
      <c r="O20" s="141" t="s">
        <v>262</v>
      </c>
      <c r="P20" s="251">
        <f>'Balance Sheet'!G70</f>
        <v>560.30137300000001</v>
      </c>
      <c r="Q20" s="149"/>
      <c r="R20" s="141" t="s">
        <v>262</v>
      </c>
      <c r="S20" s="251">
        <f>'Balance Sheet'!G70</f>
        <v>560.30137300000001</v>
      </c>
      <c r="T20" s="135"/>
      <c r="U20" s="12"/>
      <c r="V20" s="12"/>
    </row>
    <row r="21" spans="1:22" ht="14.5" x14ac:dyDescent="0.35">
      <c r="A21" s="135"/>
      <c r="B21" s="135" t="s">
        <v>195</v>
      </c>
      <c r="C21" s="135">
        <f>Drivers!D13*C11</f>
        <v>1780.0000000000002</v>
      </c>
      <c r="D21" s="135">
        <f>Drivers!E13*D11</f>
        <v>1865</v>
      </c>
      <c r="E21" s="135">
        <f>Drivers!F13*E11</f>
        <v>2147</v>
      </c>
      <c r="F21" s="135">
        <f>Drivers!G13*F11</f>
        <v>2589</v>
      </c>
      <c r="G21" s="140">
        <f>Drivers!H13*G11</f>
        <v>2532</v>
      </c>
      <c r="H21" s="135">
        <f>Drivers!I13*H11</f>
        <v>2773.5943501290235</v>
      </c>
      <c r="I21" s="135">
        <f>Drivers!J13*I11</f>
        <v>3086.1112349099999</v>
      </c>
      <c r="J21" s="135">
        <f>Drivers!K13*J11</f>
        <v>3337.2936406573499</v>
      </c>
      <c r="K21" s="135">
        <f>Drivers!L13*K11</f>
        <v>3619.9007141880256</v>
      </c>
      <c r="L21" s="135">
        <f>Drivers!M13*L11</f>
        <v>3932.6616073935566</v>
      </c>
      <c r="M21" s="135">
        <f>Drivers!N13*M11</f>
        <v>4279.5809335635304</v>
      </c>
      <c r="N21" s="135"/>
      <c r="O21" s="156" t="s">
        <v>263</v>
      </c>
      <c r="P21" s="157">
        <f ca="1">P19/P20</f>
        <v>143.5594273606398</v>
      </c>
      <c r="Q21" s="149"/>
      <c r="R21" s="156" t="s">
        <v>263</v>
      </c>
      <c r="S21" s="157">
        <f ca="1">S19/S20</f>
        <v>167.55536379688374</v>
      </c>
      <c r="T21" s="135"/>
      <c r="U21" s="12"/>
      <c r="V21" s="12"/>
    </row>
    <row r="22" spans="1:22" ht="15" thickBot="1" x14ac:dyDescent="0.4">
      <c r="A22" s="135"/>
      <c r="B22" s="137" t="s">
        <v>82</v>
      </c>
      <c r="C22" s="137">
        <f t="shared" ref="C22:M22" si="6">C11-C21</f>
        <v>3199</v>
      </c>
      <c r="D22" s="137">
        <f t="shared" si="6"/>
        <v>3337</v>
      </c>
      <c r="E22" s="137">
        <f t="shared" si="6"/>
        <v>3889</v>
      </c>
      <c r="F22" s="137">
        <f t="shared" si="6"/>
        <v>4557</v>
      </c>
      <c r="G22" s="143">
        <f t="shared" si="6"/>
        <v>4760</v>
      </c>
      <c r="H22" s="137">
        <f t="shared" si="6"/>
        <v>5247.6056498709768</v>
      </c>
      <c r="I22" s="137">
        <f t="shared" si="6"/>
        <v>5782.0244975900005</v>
      </c>
      <c r="J22" s="137">
        <f t="shared" si="6"/>
        <v>6252.63061410515</v>
      </c>
      <c r="K22" s="137">
        <f t="shared" si="6"/>
        <v>6782.1128323292896</v>
      </c>
      <c r="L22" s="137">
        <f t="shared" si="6"/>
        <v>7368.090137990228</v>
      </c>
      <c r="M22" s="137">
        <f t="shared" si="6"/>
        <v>8018.065427251212</v>
      </c>
      <c r="N22" s="135"/>
      <c r="O22" s="158" t="s">
        <v>368</v>
      </c>
      <c r="P22" s="159">
        <f ca="1">P21/$C$4-1</f>
        <v>0.32118007878372734</v>
      </c>
      <c r="Q22" s="149"/>
      <c r="R22" s="158" t="s">
        <v>368</v>
      </c>
      <c r="S22" s="159">
        <f ca="1">S21/$C$4-1</f>
        <v>0.54201512789327944</v>
      </c>
      <c r="T22" s="135"/>
      <c r="U22" s="12"/>
      <c r="V22" s="12"/>
    </row>
    <row r="23" spans="1:22" ht="14.5" x14ac:dyDescent="0.35">
      <c r="A23" s="135"/>
      <c r="B23" s="135" t="s">
        <v>189</v>
      </c>
      <c r="C23" s="135">
        <f>Drivers!D18*DCF!C11</f>
        <v>586</v>
      </c>
      <c r="D23" s="135">
        <f>Drivers!E18*DCF!D11</f>
        <v>662</v>
      </c>
      <c r="E23" s="135">
        <f>Drivers!F18*DCF!E11</f>
        <v>751</v>
      </c>
      <c r="F23" s="135">
        <f>Drivers!G18*DCF!F11</f>
        <v>1009.0000000000001</v>
      </c>
      <c r="G23" s="140">
        <f>Drivers!H18*DCF!G11</f>
        <v>1031</v>
      </c>
      <c r="H23" s="135">
        <f>Drivers!I18*DCF!H11</f>
        <v>1160.2034496808367</v>
      </c>
      <c r="I23" s="135">
        <f>Drivers!J18*DCF!I11</f>
        <v>1282.7060376358143</v>
      </c>
      <c r="J23" s="135">
        <f>Drivers!K18*DCF!J11</f>
        <v>1367.9272180831767</v>
      </c>
      <c r="K23" s="135">
        <f>Drivers!L18*DCF!K11</f>
        <v>1462.9613369644048</v>
      </c>
      <c r="L23" s="135">
        <f>Drivers!M18*DCF!L11</f>
        <v>1593.4059960991135</v>
      </c>
      <c r="M23" s="135">
        <f>Drivers!N18*DCF!M11</f>
        <v>1733.9681368748786</v>
      </c>
      <c r="N23" s="135"/>
      <c r="O23" s="149"/>
      <c r="P23" s="160"/>
      <c r="Q23" s="149"/>
      <c r="R23" s="149"/>
      <c r="S23" s="149"/>
      <c r="T23" s="135"/>
      <c r="U23" s="12"/>
      <c r="V23" s="12"/>
    </row>
    <row r="24" spans="1:22" ht="14.5" x14ac:dyDescent="0.35">
      <c r="A24" s="135"/>
      <c r="B24" s="137" t="s">
        <v>84</v>
      </c>
      <c r="C24" s="137">
        <f>C22-C23</f>
        <v>2613</v>
      </c>
      <c r="D24" s="137">
        <f t="shared" ref="D24:M24" si="7">D22-D23</f>
        <v>2675</v>
      </c>
      <c r="E24" s="137">
        <f t="shared" si="7"/>
        <v>3138</v>
      </c>
      <c r="F24" s="137">
        <f t="shared" si="7"/>
        <v>3548</v>
      </c>
      <c r="G24" s="143">
        <f t="shared" si="7"/>
        <v>3729</v>
      </c>
      <c r="H24" s="137">
        <f t="shared" si="7"/>
        <v>4087.4022001901403</v>
      </c>
      <c r="I24" s="137">
        <f t="shared" si="7"/>
        <v>4499.3184599541864</v>
      </c>
      <c r="J24" s="137">
        <f t="shared" si="7"/>
        <v>4884.7033960219733</v>
      </c>
      <c r="K24" s="137">
        <f t="shared" si="7"/>
        <v>5319.1514953648848</v>
      </c>
      <c r="L24" s="137">
        <f t="shared" si="7"/>
        <v>5774.6841418911145</v>
      </c>
      <c r="M24" s="137">
        <f t="shared" si="7"/>
        <v>6284.0972903763331</v>
      </c>
      <c r="N24" s="135"/>
      <c r="O24" s="161" t="s">
        <v>266</v>
      </c>
      <c r="P24" s="162">
        <f ca="1">P16/M11</f>
        <v>8.2014510173781066</v>
      </c>
      <c r="Q24" s="149"/>
      <c r="R24" s="161" t="s">
        <v>267</v>
      </c>
      <c r="S24" s="163">
        <f>D51-P10/S12</f>
        <v>3.8605441745686239E-2</v>
      </c>
      <c r="T24" s="135"/>
      <c r="U24" s="12"/>
      <c r="V24" s="12"/>
    </row>
    <row r="25" spans="1:22" ht="15" thickBot="1" x14ac:dyDescent="0.4">
      <c r="A25" s="135"/>
      <c r="B25" s="147" t="s">
        <v>185</v>
      </c>
      <c r="C25" s="147">
        <f t="shared" ref="C25:M25" si="8">C24/C11</f>
        <v>0.52480417754569186</v>
      </c>
      <c r="D25" s="147">
        <f t="shared" si="8"/>
        <v>0.51422529796232219</v>
      </c>
      <c r="E25" s="147">
        <f t="shared" si="8"/>
        <v>0.51988071570576544</v>
      </c>
      <c r="F25" s="147">
        <f t="shared" si="8"/>
        <v>0.49650153932269803</v>
      </c>
      <c r="G25" s="148">
        <f t="shared" si="8"/>
        <v>0.51138233680746026</v>
      </c>
      <c r="H25" s="147">
        <f t="shared" si="8"/>
        <v>0.50957490153470053</v>
      </c>
      <c r="I25" s="147">
        <f t="shared" si="8"/>
        <v>0.50735787043324732</v>
      </c>
      <c r="J25" s="147">
        <f t="shared" si="8"/>
        <v>0.50935787043324732</v>
      </c>
      <c r="K25" s="147">
        <f t="shared" si="8"/>
        <v>0.51135787043324732</v>
      </c>
      <c r="L25" s="147">
        <f t="shared" si="8"/>
        <v>0.51100000000000001</v>
      </c>
      <c r="M25" s="147">
        <f t="shared" si="8"/>
        <v>0.51100000000000001</v>
      </c>
      <c r="N25" s="135"/>
      <c r="O25" s="149"/>
      <c r="P25" s="164"/>
      <c r="Q25" s="149"/>
      <c r="R25" s="135"/>
      <c r="S25" s="135"/>
      <c r="T25" s="135"/>
      <c r="U25" s="12"/>
      <c r="V25" s="12"/>
    </row>
    <row r="26" spans="1:22" ht="14.5" x14ac:dyDescent="0.35">
      <c r="A26" s="135"/>
      <c r="B26" s="135" t="s">
        <v>186</v>
      </c>
      <c r="C26" s="135">
        <f t="shared" ref="C26:M26" si="9">C24*C27</f>
        <v>627.12</v>
      </c>
      <c r="D26" s="135">
        <f t="shared" si="9"/>
        <v>642</v>
      </c>
      <c r="E26" s="135">
        <f t="shared" si="9"/>
        <v>753.12</v>
      </c>
      <c r="F26" s="135">
        <f t="shared" si="9"/>
        <v>851.52</v>
      </c>
      <c r="G26" s="140">
        <f t="shared" si="9"/>
        <v>894.95999999999992</v>
      </c>
      <c r="H26" s="135">
        <f t="shared" si="9"/>
        <v>980.97652804563359</v>
      </c>
      <c r="I26" s="135">
        <f t="shared" si="9"/>
        <v>1079.8364303890048</v>
      </c>
      <c r="J26" s="135">
        <f t="shared" si="9"/>
        <v>1172.3288150452736</v>
      </c>
      <c r="K26" s="135">
        <f t="shared" si="9"/>
        <v>1276.5963588875723</v>
      </c>
      <c r="L26" s="135">
        <f t="shared" si="9"/>
        <v>1385.9241940538675</v>
      </c>
      <c r="M26" s="135">
        <f t="shared" si="9"/>
        <v>1508.1833496903198</v>
      </c>
      <c r="N26" s="135"/>
      <c r="O26" s="165" t="s">
        <v>268</v>
      </c>
      <c r="P26" s="166"/>
      <c r="Q26" s="166"/>
      <c r="R26" s="166"/>
      <c r="S26" s="167"/>
      <c r="T26" s="135"/>
      <c r="U26" s="12"/>
      <c r="V26" s="12"/>
    </row>
    <row r="27" spans="1:22" ht="14.5" x14ac:dyDescent="0.35">
      <c r="A27" s="135"/>
      <c r="B27" s="146" t="s">
        <v>187</v>
      </c>
      <c r="C27" s="147">
        <v>0.24</v>
      </c>
      <c r="D27" s="147">
        <v>0.24</v>
      </c>
      <c r="E27" s="147">
        <v>0.24</v>
      </c>
      <c r="F27" s="147">
        <v>0.24</v>
      </c>
      <c r="G27" s="148">
        <v>0.24</v>
      </c>
      <c r="H27" s="147">
        <v>0.24</v>
      </c>
      <c r="I27" s="147">
        <v>0.24</v>
      </c>
      <c r="J27" s="147">
        <v>0.24</v>
      </c>
      <c r="K27" s="147">
        <v>0.24</v>
      </c>
      <c r="L27" s="147">
        <v>0.24</v>
      </c>
      <c r="M27" s="147">
        <v>0.24</v>
      </c>
      <c r="N27" s="135"/>
      <c r="O27" s="144" t="s">
        <v>270</v>
      </c>
      <c r="P27" s="168"/>
      <c r="Q27" s="169"/>
      <c r="R27" s="135"/>
      <c r="S27" s="170">
        <v>0.5</v>
      </c>
      <c r="T27" s="135"/>
      <c r="U27" s="12"/>
      <c r="V27" s="12"/>
    </row>
    <row r="28" spans="1:22" ht="14.5" x14ac:dyDescent="0.35">
      <c r="A28" s="135"/>
      <c r="B28" s="137" t="s">
        <v>188</v>
      </c>
      <c r="C28" s="137">
        <f t="shared" ref="C28:M28" si="10">C24-C26</f>
        <v>1985.88</v>
      </c>
      <c r="D28" s="137">
        <f t="shared" si="10"/>
        <v>2033</v>
      </c>
      <c r="E28" s="137">
        <f t="shared" si="10"/>
        <v>2384.88</v>
      </c>
      <c r="F28" s="137">
        <f t="shared" si="10"/>
        <v>2696.48</v>
      </c>
      <c r="G28" s="143">
        <f t="shared" si="10"/>
        <v>2834.04</v>
      </c>
      <c r="H28" s="137">
        <f t="shared" si="10"/>
        <v>3106.4256721445067</v>
      </c>
      <c r="I28" s="137">
        <f t="shared" si="10"/>
        <v>3419.4820295651816</v>
      </c>
      <c r="J28" s="137">
        <f t="shared" si="10"/>
        <v>3712.3745809766997</v>
      </c>
      <c r="K28" s="137">
        <f t="shared" si="10"/>
        <v>4042.5551364773128</v>
      </c>
      <c r="L28" s="137">
        <f t="shared" si="10"/>
        <v>4388.7599478372467</v>
      </c>
      <c r="M28" s="137">
        <f t="shared" si="10"/>
        <v>4775.9139406860131</v>
      </c>
      <c r="N28" s="135"/>
      <c r="O28" s="144" t="s">
        <v>269</v>
      </c>
      <c r="P28" s="168"/>
      <c r="Q28" s="135"/>
      <c r="R28" s="171"/>
      <c r="S28" s="170">
        <v>0.5</v>
      </c>
      <c r="T28" s="135"/>
      <c r="U28" s="12"/>
      <c r="V28" s="12"/>
    </row>
    <row r="29" spans="1:22" ht="14.5" x14ac:dyDescent="0.35">
      <c r="A29" s="135"/>
      <c r="B29" s="135" t="s">
        <v>189</v>
      </c>
      <c r="C29" s="135">
        <f t="shared" ref="C29:M29" si="11">C23</f>
        <v>586</v>
      </c>
      <c r="D29" s="135">
        <f t="shared" si="11"/>
        <v>662</v>
      </c>
      <c r="E29" s="135">
        <f t="shared" si="11"/>
        <v>751</v>
      </c>
      <c r="F29" s="135">
        <f t="shared" si="11"/>
        <v>1009.0000000000001</v>
      </c>
      <c r="G29" s="140">
        <f t="shared" si="11"/>
        <v>1031</v>
      </c>
      <c r="H29" s="135">
        <f t="shared" si="11"/>
        <v>1160.2034496808367</v>
      </c>
      <c r="I29" s="135">
        <f t="shared" si="11"/>
        <v>1282.7060376358143</v>
      </c>
      <c r="J29" s="135">
        <f t="shared" si="11"/>
        <v>1367.9272180831767</v>
      </c>
      <c r="K29" s="135">
        <f t="shared" si="11"/>
        <v>1462.9613369644048</v>
      </c>
      <c r="L29" s="135">
        <f t="shared" si="11"/>
        <v>1593.4059960991135</v>
      </c>
      <c r="M29" s="135">
        <f t="shared" si="11"/>
        <v>1733.9681368748786</v>
      </c>
      <c r="N29" s="135"/>
      <c r="O29" s="172" t="s">
        <v>268</v>
      </c>
      <c r="P29" s="173"/>
      <c r="Q29" s="174"/>
      <c r="R29" s="174"/>
      <c r="S29" s="175">
        <f ca="1">S27*$P$21+S28*$S$21</f>
        <v>155.55739557876177</v>
      </c>
      <c r="T29" s="135"/>
      <c r="U29" s="12"/>
      <c r="V29" s="12"/>
    </row>
    <row r="30" spans="1:22" ht="15" thickBot="1" x14ac:dyDescent="0.4">
      <c r="A30" s="135"/>
      <c r="B30" s="135" t="s">
        <v>190</v>
      </c>
      <c r="C30" s="135">
        <f>Drivers!D23*C11</f>
        <v>-134</v>
      </c>
      <c r="D30" s="135">
        <f>Drivers!E23*D11</f>
        <v>-153</v>
      </c>
      <c r="E30" s="135">
        <f>Drivers!F23*E11</f>
        <v>-207</v>
      </c>
      <c r="F30" s="135">
        <f>Drivers!G23*F11</f>
        <v>-179</v>
      </c>
      <c r="G30" s="140">
        <f>Drivers!H23*G11</f>
        <v>-225</v>
      </c>
      <c r="H30" s="135">
        <f>Drivers!I23*H11</f>
        <v>-225.5043324731767</v>
      </c>
      <c r="I30" s="135">
        <f>Drivers!J23*I11</f>
        <v>-304.125927208002</v>
      </c>
      <c r="J30" s="135">
        <f>Drivers!K23*J11</f>
        <v>-328.87911211660662</v>
      </c>
      <c r="K30" s="135">
        <f>Drivers!L23*K11</f>
        <v>-356.72909279805901</v>
      </c>
      <c r="L30" s="135">
        <f>Drivers!M23*L11</f>
        <v>-387.55063142717751</v>
      </c>
      <c r="M30" s="135">
        <f>Drivers!N23*M11</f>
        <v>-421.73836923271233</v>
      </c>
      <c r="N30" s="135"/>
      <c r="O30" s="176" t="s">
        <v>368</v>
      </c>
      <c r="P30" s="177"/>
      <c r="Q30" s="177"/>
      <c r="R30" s="177"/>
      <c r="S30" s="159">
        <f ca="1">S29/$C$4-1</f>
        <v>0.43159760333850339</v>
      </c>
      <c r="T30" s="135"/>
      <c r="U30" s="12"/>
      <c r="V30" s="12"/>
    </row>
    <row r="31" spans="1:22" ht="14.5" x14ac:dyDescent="0.35">
      <c r="A31" s="135"/>
      <c r="B31" s="135" t="s">
        <v>191</v>
      </c>
      <c r="C31" s="135">
        <v>0</v>
      </c>
      <c r="D31" s="135">
        <f>'NWC Build'!D24</f>
        <v>-237</v>
      </c>
      <c r="E31" s="135">
        <f>'NWC Build'!E24</f>
        <v>-917</v>
      </c>
      <c r="F31" s="135">
        <f>'NWC Build'!F24</f>
        <v>2147</v>
      </c>
      <c r="G31" s="140">
        <f>'NWC Build'!G24</f>
        <v>5189</v>
      </c>
      <c r="H31" s="135">
        <f>'NWC Build'!H24</f>
        <v>99</v>
      </c>
      <c r="I31" s="135">
        <f>'NWC Build'!I24</f>
        <v>598.78315669999574</v>
      </c>
      <c r="J31" s="135">
        <f>'NWC Build'!J24</f>
        <v>548.55927691949182</v>
      </c>
      <c r="K31" s="135">
        <f>'NWC Build'!K24</f>
        <v>617.18786173366243</v>
      </c>
      <c r="L31" s="135">
        <f>'NWC Build'!L24</f>
        <v>683.04103113852034</v>
      </c>
      <c r="M31" s="135">
        <f>'NWC Build'!M24</f>
        <v>757.63990772752732</v>
      </c>
      <c r="N31" s="135"/>
      <c r="O31" s="135"/>
      <c r="P31" s="135"/>
      <c r="Q31" s="135"/>
      <c r="R31" s="135"/>
      <c r="S31" s="135"/>
      <c r="T31" s="135"/>
      <c r="U31" s="12"/>
      <c r="V31" s="12"/>
    </row>
    <row r="32" spans="1:22" ht="14.5" x14ac:dyDescent="0.35">
      <c r="A32" s="135"/>
      <c r="B32" s="135" t="s">
        <v>192</v>
      </c>
      <c r="C32" s="135">
        <f>'Cash Flow'!B36</f>
        <v>-1246</v>
      </c>
      <c r="D32" s="135">
        <f>'Cash Flow'!C36</f>
        <v>-352</v>
      </c>
      <c r="E32" s="135">
        <f>'Cash Flow'!D36</f>
        <v>-9446</v>
      </c>
      <c r="F32" s="135">
        <f>'Cash Flow'!E36</f>
        <v>-66</v>
      </c>
      <c r="G32" s="140">
        <f>'Cash Flow'!F36</f>
        <v>-59</v>
      </c>
      <c r="H32" s="135">
        <v>-10247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/>
      <c r="O32" s="135"/>
      <c r="P32" s="135"/>
      <c r="Q32" s="135"/>
      <c r="R32" s="135"/>
      <c r="S32" s="135"/>
      <c r="T32" s="135"/>
      <c r="U32" s="12"/>
      <c r="V32" s="12"/>
    </row>
    <row r="33" spans="1:22" ht="15" thickBot="1" x14ac:dyDescent="0.4">
      <c r="A33" s="135"/>
      <c r="B33" s="137" t="s">
        <v>193</v>
      </c>
      <c r="C33" s="137">
        <f>C28+C29+C30+C31+C32</f>
        <v>1191.8800000000001</v>
      </c>
      <c r="D33" s="137">
        <f t="shared" ref="D33:M33" si="12">D28+D29+D30+D31+D32</f>
        <v>1953</v>
      </c>
      <c r="E33" s="137">
        <f t="shared" si="12"/>
        <v>-7434.12</v>
      </c>
      <c r="F33" s="137">
        <f t="shared" si="12"/>
        <v>5607.48</v>
      </c>
      <c r="G33" s="143">
        <f t="shared" si="12"/>
        <v>8770.0400000000009</v>
      </c>
      <c r="H33" s="137">
        <f t="shared" si="12"/>
        <v>-6106.8752106478332</v>
      </c>
      <c r="I33" s="137">
        <f t="shared" si="12"/>
        <v>4996.845296692989</v>
      </c>
      <c r="J33" s="137">
        <f t="shared" si="12"/>
        <v>5299.9819638627614</v>
      </c>
      <c r="K33" s="137">
        <f t="shared" si="12"/>
        <v>5765.9752423773207</v>
      </c>
      <c r="L33" s="137">
        <f t="shared" si="12"/>
        <v>6277.6563436477027</v>
      </c>
      <c r="M33" s="137">
        <f t="shared" si="12"/>
        <v>6845.7836160557072</v>
      </c>
      <c r="N33" s="135"/>
      <c r="O33" s="135"/>
      <c r="P33" s="135"/>
      <c r="Q33" s="135"/>
      <c r="R33" s="135"/>
      <c r="S33" s="135"/>
      <c r="T33" s="135"/>
      <c r="U33" s="12"/>
      <c r="V33" s="12"/>
    </row>
    <row r="34" spans="1:22" ht="14.5" x14ac:dyDescent="0.35">
      <c r="A34" s="135"/>
      <c r="B34" s="135" t="s">
        <v>194</v>
      </c>
      <c r="C34" s="135"/>
      <c r="D34" s="135"/>
      <c r="E34" s="135"/>
      <c r="F34" s="135"/>
      <c r="G34" s="140"/>
      <c r="H34" s="135">
        <f t="shared" ref="H34:M34" ca="1" si="13">H33/(1+$D$51)^H10</f>
        <v>-6073.043730547266</v>
      </c>
      <c r="I34" s="135">
        <f t="shared" ca="1" si="13"/>
        <v>4735.7727570919787</v>
      </c>
      <c r="J34" s="135">
        <f t="shared" ca="1" si="13"/>
        <v>4613.2797786789442</v>
      </c>
      <c r="K34" s="135">
        <f t="shared" ca="1" si="13"/>
        <v>4609.4448846777668</v>
      </c>
      <c r="L34" s="135">
        <f t="shared" ca="1" si="13"/>
        <v>4609.0757068274752</v>
      </c>
      <c r="M34" s="135">
        <f t="shared" ca="1" si="13"/>
        <v>4616.1501097214823</v>
      </c>
      <c r="N34" s="135"/>
      <c r="O34" s="165" t="s">
        <v>268</v>
      </c>
      <c r="P34" s="167"/>
      <c r="Q34" s="135"/>
      <c r="R34" s="135"/>
      <c r="S34" s="135"/>
      <c r="T34" s="135"/>
      <c r="U34" s="12"/>
      <c r="V34" s="12"/>
    </row>
    <row r="35" spans="1:22" ht="14.5" x14ac:dyDescent="0.35">
      <c r="A35" s="135"/>
      <c r="B35" s="137" t="s">
        <v>324</v>
      </c>
      <c r="C35" s="137"/>
      <c r="D35" s="137"/>
      <c r="E35" s="137"/>
      <c r="F35" s="137"/>
      <c r="G35" s="143"/>
      <c r="H35" s="137">
        <f t="shared" ref="H35:M35" ca="1" si="14">H34*H9</f>
        <v>-792.86959815478201</v>
      </c>
      <c r="I35" s="137">
        <f t="shared" ca="1" si="14"/>
        <v>4735.7727570919787</v>
      </c>
      <c r="J35" s="137">
        <f t="shared" ca="1" si="14"/>
        <v>4613.2797786789442</v>
      </c>
      <c r="K35" s="137">
        <f t="shared" ca="1" si="14"/>
        <v>4609.4448846777668</v>
      </c>
      <c r="L35" s="137">
        <f t="shared" ca="1" si="14"/>
        <v>4609.0757068274752</v>
      </c>
      <c r="M35" s="137">
        <f t="shared" ca="1" si="14"/>
        <v>4616.1501097214823</v>
      </c>
      <c r="N35" s="135"/>
      <c r="O35" s="144" t="s">
        <v>270</v>
      </c>
      <c r="P35" s="170">
        <v>0.5</v>
      </c>
      <c r="Q35" s="135"/>
      <c r="R35" s="135"/>
      <c r="S35" s="135"/>
      <c r="T35" s="135"/>
      <c r="U35" s="12"/>
      <c r="V35" s="12"/>
    </row>
    <row r="36" spans="1:22" ht="14.5" x14ac:dyDescent="0.3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4" t="s">
        <v>269</v>
      </c>
      <c r="P36" s="170">
        <v>0.5</v>
      </c>
      <c r="Q36" s="135"/>
      <c r="R36" s="135"/>
      <c r="S36" s="135"/>
      <c r="T36" s="135"/>
      <c r="U36" s="12"/>
      <c r="V36" s="12"/>
    </row>
    <row r="37" spans="1:22" ht="14.5" x14ac:dyDescent="0.3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72" t="s">
        <v>268</v>
      </c>
      <c r="P37" s="175">
        <f ca="1">P35*$P$21+P36*$S$21</f>
        <v>155.55739557876177</v>
      </c>
      <c r="Q37" s="135"/>
      <c r="R37" s="135"/>
      <c r="S37" s="135"/>
      <c r="T37" s="135"/>
      <c r="U37" s="12"/>
      <c r="V37" s="12"/>
    </row>
    <row r="38" spans="1:22" ht="15" thickBot="1" x14ac:dyDescent="0.4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76" t="s">
        <v>368</v>
      </c>
      <c r="P38" s="159">
        <f ca="1">P37/$C$4-1</f>
        <v>0.43159760333850339</v>
      </c>
      <c r="Q38" s="135"/>
      <c r="R38" s="135"/>
      <c r="S38" s="135"/>
      <c r="T38" s="135"/>
      <c r="U38" s="12"/>
      <c r="V38" s="12"/>
    </row>
    <row r="39" spans="1:22" ht="14.5" x14ac:dyDescent="0.35">
      <c r="A39" s="135"/>
      <c r="B39" s="178" t="s">
        <v>354</v>
      </c>
      <c r="C39" s="179"/>
      <c r="D39" s="180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2"/>
      <c r="V39" s="12"/>
    </row>
    <row r="40" spans="1:22" ht="14.5" x14ac:dyDescent="0.35">
      <c r="A40" s="135"/>
      <c r="B40" s="181" t="s">
        <v>345</v>
      </c>
      <c r="C40" s="135"/>
      <c r="D40" s="182">
        <v>5.5E-2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2"/>
      <c r="V40" s="12"/>
    </row>
    <row r="41" spans="1:22" ht="14.5" x14ac:dyDescent="0.35">
      <c r="A41" s="135"/>
      <c r="B41" s="181" t="s">
        <v>346</v>
      </c>
      <c r="C41" s="135"/>
      <c r="D41" s="140">
        <v>0.99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2"/>
      <c r="V41" s="12"/>
    </row>
    <row r="42" spans="1:22" ht="14.5" x14ac:dyDescent="0.35">
      <c r="A42" s="135"/>
      <c r="B42" s="181" t="s">
        <v>347</v>
      </c>
      <c r="C42" s="135"/>
      <c r="D42" s="182">
        <v>5.2999999999999999E-2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2"/>
      <c r="V42" s="12"/>
    </row>
    <row r="43" spans="1:22" ht="14.5" x14ac:dyDescent="0.35">
      <c r="A43" s="135"/>
      <c r="B43" s="183" t="s">
        <v>348</v>
      </c>
      <c r="C43" s="137"/>
      <c r="D43" s="184">
        <f>D42+D41*(D40)</f>
        <v>0.10744999999999999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2"/>
      <c r="V43" s="12"/>
    </row>
    <row r="44" spans="1:22" ht="14.5" x14ac:dyDescent="0.35">
      <c r="A44" s="135"/>
      <c r="B44" s="185" t="s">
        <v>349</v>
      </c>
      <c r="C44" s="15"/>
      <c r="D44" s="182">
        <v>5.1999999999999998E-2</v>
      </c>
      <c r="E44" s="23"/>
      <c r="F44" s="23"/>
      <c r="G44" s="23"/>
      <c r="H44" s="23"/>
      <c r="I44" s="23"/>
      <c r="J44" s="23"/>
      <c r="K44" s="23"/>
      <c r="L44" s="23"/>
      <c r="M44" s="23"/>
      <c r="N44" s="135"/>
      <c r="O44" s="135"/>
      <c r="P44" s="135"/>
      <c r="Q44" s="135"/>
      <c r="R44" s="135"/>
      <c r="S44" s="135"/>
      <c r="T44" s="135"/>
      <c r="U44" s="12"/>
      <c r="V44" s="12"/>
    </row>
    <row r="45" spans="1:22" ht="14.5" x14ac:dyDescent="0.35">
      <c r="A45" s="135"/>
      <c r="B45" s="185" t="s">
        <v>350</v>
      </c>
      <c r="C45" s="15"/>
      <c r="D45" s="155">
        <v>0.24</v>
      </c>
      <c r="E45" s="23"/>
      <c r="F45" s="23"/>
      <c r="G45" s="23"/>
      <c r="H45" s="23"/>
      <c r="I45" s="23"/>
      <c r="J45" s="23"/>
      <c r="K45" s="23"/>
      <c r="L45" s="23"/>
      <c r="M45" s="23"/>
      <c r="N45" s="135"/>
      <c r="O45" s="135"/>
      <c r="P45" s="135"/>
      <c r="Q45" s="135"/>
      <c r="R45" s="135"/>
      <c r="S45" s="135"/>
      <c r="T45" s="135"/>
      <c r="U45" s="12"/>
      <c r="V45" s="12"/>
    </row>
    <row r="46" spans="1:22" ht="14.5" x14ac:dyDescent="0.35">
      <c r="A46" s="135"/>
      <c r="B46" s="186" t="s">
        <v>351</v>
      </c>
      <c r="C46" s="20"/>
      <c r="D46" s="184">
        <f>D44*(1-D45)</f>
        <v>3.952E-2</v>
      </c>
      <c r="E46" s="23"/>
      <c r="F46" s="23"/>
      <c r="G46" s="23"/>
      <c r="H46" s="23"/>
      <c r="I46" s="23"/>
      <c r="J46" s="23"/>
      <c r="K46" s="23"/>
      <c r="L46" s="23"/>
      <c r="M46" s="23"/>
      <c r="N46" s="135"/>
      <c r="O46" s="135"/>
      <c r="P46" s="135"/>
      <c r="Q46" s="135"/>
      <c r="R46" s="23"/>
      <c r="S46" s="23"/>
      <c r="T46" s="135"/>
      <c r="U46" s="12"/>
      <c r="V46" s="12"/>
    </row>
    <row r="47" spans="1:22" ht="14.5" x14ac:dyDescent="0.35">
      <c r="A47" s="135"/>
      <c r="B47" s="185" t="s">
        <v>158</v>
      </c>
      <c r="C47" s="15"/>
      <c r="D47" s="187">
        <v>61695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2" ht="14.5" x14ac:dyDescent="0.35">
      <c r="A48" s="23"/>
      <c r="B48" s="185" t="s">
        <v>165</v>
      </c>
      <c r="C48" s="15"/>
      <c r="D48" s="187">
        <v>23299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4.5" x14ac:dyDescent="0.35">
      <c r="A49" s="23"/>
      <c r="B49" s="185" t="s">
        <v>352</v>
      </c>
      <c r="C49" s="15"/>
      <c r="D49" s="182">
        <f>D47/(D47+D48)</f>
        <v>0.72587476763065628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4.5" x14ac:dyDescent="0.35">
      <c r="A50" s="23"/>
      <c r="B50" s="185" t="s">
        <v>353</v>
      </c>
      <c r="C50" s="15"/>
      <c r="D50" s="182">
        <f>D48/(D47+D48)</f>
        <v>0.27412523236934372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4.5" x14ac:dyDescent="0.35">
      <c r="A51" s="23"/>
      <c r="B51" s="188" t="s">
        <v>252</v>
      </c>
      <c r="C51" s="189"/>
      <c r="D51" s="190">
        <f>D49*D43+D50*D46</f>
        <v>8.8828672965150471E-2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0.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</sheetData>
  <mergeCells count="4">
    <mergeCell ref="O8:P8"/>
    <mergeCell ref="R8:S8"/>
    <mergeCell ref="O9:P9"/>
    <mergeCell ref="R9:S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8"/>
  <sheetViews>
    <sheetView showGridLines="0" zoomScale="85" zoomScaleNormal="85" workbookViewId="0">
      <selection activeCell="H37" sqref="H37:I46"/>
    </sheetView>
  </sheetViews>
  <sheetFormatPr defaultRowHeight="10" x14ac:dyDescent="0.2"/>
  <cols>
    <col min="1" max="1" width="18.54296875" bestFit="1" customWidth="1"/>
    <col min="2" max="2" width="27.1796875" bestFit="1" customWidth="1"/>
    <col min="3" max="3" width="12.7265625" bestFit="1" customWidth="1"/>
    <col min="4" max="4" width="16.26953125" bestFit="1" customWidth="1"/>
    <col min="5" max="5" width="27.1796875" bestFit="1" customWidth="1"/>
    <col min="6" max="6" width="18.1796875" bestFit="1" customWidth="1"/>
    <col min="7" max="7" width="18.7265625" bestFit="1" customWidth="1"/>
    <col min="8" max="8" width="27.1796875" bestFit="1" customWidth="1"/>
    <col min="9" max="9" width="14.7265625" bestFit="1" customWidth="1"/>
    <col min="10" max="10" width="19.54296875" bestFit="1" customWidth="1"/>
    <col min="11" max="11" width="16.54296875" bestFit="1" customWidth="1"/>
    <col min="12" max="12" width="14" customWidth="1"/>
    <col min="13" max="13" width="17.81640625" bestFit="1" customWidth="1"/>
    <col min="14" max="14" width="5.26953125" bestFit="1" customWidth="1"/>
  </cols>
  <sheetData>
    <row r="1" spans="1:13" ht="14.5" x14ac:dyDescent="0.35">
      <c r="A1" s="15"/>
      <c r="B1" s="15" t="s">
        <v>337</v>
      </c>
      <c r="C1" s="15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thickBot="1" x14ac:dyDescent="0.4">
      <c r="A2" s="16"/>
      <c r="B2" s="16" t="s">
        <v>376</v>
      </c>
      <c r="C2" s="15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thickBot="1" x14ac:dyDescent="0.4">
      <c r="A3" s="15"/>
      <c r="B3" s="131" t="s">
        <v>377</v>
      </c>
      <c r="C3" s="191">
        <f>Master!C9</f>
        <v>2</v>
      </c>
      <c r="D3" s="133" t="str">
        <f>Master!D9</f>
        <v>Bull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ht="14.5" x14ac:dyDescent="0.35">
      <c r="A4" s="15"/>
      <c r="B4" s="134" t="s">
        <v>374</v>
      </c>
      <c r="C4" s="134">
        <f>Master!C7</f>
        <v>108.66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0.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0.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0.5" x14ac:dyDescent="0.25">
      <c r="A8" s="23"/>
      <c r="B8" s="266" t="s">
        <v>271</v>
      </c>
      <c r="C8" s="268" t="s">
        <v>272</v>
      </c>
      <c r="D8" s="268" t="s">
        <v>273</v>
      </c>
      <c r="E8" s="268" t="s">
        <v>274</v>
      </c>
      <c r="F8" s="268" t="s">
        <v>275</v>
      </c>
      <c r="G8" s="268" t="s">
        <v>276</v>
      </c>
      <c r="H8" s="268" t="s">
        <v>277</v>
      </c>
      <c r="I8" s="268" t="s">
        <v>278</v>
      </c>
      <c r="J8" s="268" t="s">
        <v>279</v>
      </c>
      <c r="K8" s="268" t="s">
        <v>280</v>
      </c>
      <c r="L8" s="270" t="s">
        <v>281</v>
      </c>
      <c r="M8" s="23"/>
    </row>
    <row r="9" spans="1:13" ht="10.5" x14ac:dyDescent="0.25">
      <c r="A9" s="23"/>
      <c r="B9" s="267"/>
      <c r="C9" s="269"/>
      <c r="D9" s="269"/>
      <c r="E9" s="269"/>
      <c r="F9" s="269"/>
      <c r="G9" s="269"/>
      <c r="H9" s="269"/>
      <c r="I9" s="269"/>
      <c r="J9" s="269"/>
      <c r="K9" s="269"/>
      <c r="L9" s="271"/>
      <c r="M9" s="23"/>
    </row>
    <row r="10" spans="1:13" ht="10.5" x14ac:dyDescent="0.25">
      <c r="A10" s="23"/>
      <c r="B10" s="267"/>
      <c r="C10" s="269"/>
      <c r="D10" s="269"/>
      <c r="E10" s="269"/>
      <c r="F10" s="269"/>
      <c r="G10" s="269"/>
      <c r="H10" s="269"/>
      <c r="I10" s="269"/>
      <c r="J10" s="269"/>
      <c r="K10" s="269"/>
      <c r="L10" s="271"/>
      <c r="M10" s="23"/>
    </row>
    <row r="11" spans="1:13" ht="13" x14ac:dyDescent="0.3">
      <c r="A11" s="23"/>
      <c r="B11" s="192" t="s">
        <v>326</v>
      </c>
      <c r="C11" s="193" t="s">
        <v>335</v>
      </c>
      <c r="D11" s="194">
        <v>75.100999999999999</v>
      </c>
      <c r="E11" s="194">
        <v>76.59</v>
      </c>
      <c r="F11" s="195">
        <v>0.67200000000000004</v>
      </c>
      <c r="G11" s="195">
        <v>0.68799999999999994</v>
      </c>
      <c r="H11" s="196">
        <v>19.5</v>
      </c>
      <c r="I11" s="196">
        <v>19.55</v>
      </c>
      <c r="J11" s="196">
        <v>14.3</v>
      </c>
      <c r="K11" s="196">
        <v>13.44</v>
      </c>
      <c r="L11" s="197">
        <v>24.9</v>
      </c>
      <c r="M11" s="23"/>
    </row>
    <row r="12" spans="1:13" ht="13" x14ac:dyDescent="0.3">
      <c r="A12" s="23"/>
      <c r="B12" s="198" t="s">
        <v>327</v>
      </c>
      <c r="C12" s="199" t="s">
        <v>338</v>
      </c>
      <c r="D12" s="200">
        <v>28.975000000000001</v>
      </c>
      <c r="E12" s="200">
        <v>33.697000000000003</v>
      </c>
      <c r="F12" s="201">
        <v>0.33800000000000002</v>
      </c>
      <c r="G12" s="201">
        <v>0.55200000000000005</v>
      </c>
      <c r="H12" s="202">
        <v>15.7</v>
      </c>
      <c r="I12" s="202">
        <v>15.76</v>
      </c>
      <c r="J12" s="202">
        <v>5.6</v>
      </c>
      <c r="K12" s="202">
        <v>8.6999999999999993</v>
      </c>
      <c r="L12" s="203">
        <v>22.5</v>
      </c>
      <c r="M12" s="23"/>
    </row>
    <row r="13" spans="1:13" ht="13" x14ac:dyDescent="0.3">
      <c r="A13" s="23"/>
      <c r="B13" s="192" t="s">
        <v>328</v>
      </c>
      <c r="C13" s="193" t="s">
        <v>336</v>
      </c>
      <c r="D13" s="194">
        <v>17.891999999999999</v>
      </c>
      <c r="E13" s="194">
        <v>19.114999999999998</v>
      </c>
      <c r="F13" s="195">
        <v>0.309</v>
      </c>
      <c r="G13" s="195">
        <v>0.627</v>
      </c>
      <c r="H13" s="196">
        <v>15.4</v>
      </c>
      <c r="I13" s="196">
        <v>15.14</v>
      </c>
      <c r="J13" s="196">
        <v>5</v>
      </c>
      <c r="K13" s="196">
        <v>9.49</v>
      </c>
      <c r="L13" s="197">
        <v>25.5</v>
      </c>
      <c r="M13" s="23"/>
    </row>
    <row r="14" spans="1:13" ht="13" x14ac:dyDescent="0.3">
      <c r="A14" s="23"/>
      <c r="B14" s="198" t="s">
        <v>334</v>
      </c>
      <c r="C14" s="199" t="s">
        <v>339</v>
      </c>
      <c r="D14" s="200">
        <v>121.30200000000001</v>
      </c>
      <c r="E14" s="200">
        <v>135.375</v>
      </c>
      <c r="F14" s="201">
        <v>0.45100000000000001</v>
      </c>
      <c r="G14" s="201">
        <v>0.47799999999999998</v>
      </c>
      <c r="H14" s="202">
        <v>23.8</v>
      </c>
      <c r="I14" s="202">
        <v>21.65</v>
      </c>
      <c r="J14" s="202">
        <v>11</v>
      </c>
      <c r="K14" s="202">
        <v>10.36</v>
      </c>
      <c r="L14" s="203">
        <v>49.6</v>
      </c>
      <c r="M14" s="23"/>
    </row>
    <row r="15" spans="1:13" ht="13" x14ac:dyDescent="0.3">
      <c r="A15" s="23"/>
      <c r="B15" s="192" t="s">
        <v>329</v>
      </c>
      <c r="C15" s="193" t="s">
        <v>340</v>
      </c>
      <c r="D15" s="194">
        <v>19.462</v>
      </c>
      <c r="E15" s="194">
        <v>17.989999999999998</v>
      </c>
      <c r="F15" s="195">
        <v>0.51500000000000001</v>
      </c>
      <c r="G15" s="204">
        <v>0.53</v>
      </c>
      <c r="H15" s="196">
        <v>27.7</v>
      </c>
      <c r="I15" s="196">
        <v>23.55</v>
      </c>
      <c r="J15" s="196">
        <v>14.3</v>
      </c>
      <c r="K15" s="196">
        <v>12.48</v>
      </c>
      <c r="L15" s="197">
        <v>53.5</v>
      </c>
      <c r="M15" s="23"/>
    </row>
    <row r="16" spans="1:13" ht="13" x14ac:dyDescent="0.3">
      <c r="A16" s="23"/>
      <c r="B16" s="198" t="s">
        <v>330</v>
      </c>
      <c r="C16" s="199" t="s">
        <v>341</v>
      </c>
      <c r="D16" s="200">
        <v>8.3409999999999993</v>
      </c>
      <c r="E16" s="200">
        <v>7.9050000000000002</v>
      </c>
      <c r="F16" s="205">
        <v>0.51</v>
      </c>
      <c r="G16" s="201">
        <v>0.52900000000000003</v>
      </c>
      <c r="H16" s="202">
        <v>20.3</v>
      </c>
      <c r="I16" s="202">
        <v>18.37</v>
      </c>
      <c r="J16" s="202">
        <v>10.8</v>
      </c>
      <c r="K16" s="202">
        <v>9.73</v>
      </c>
      <c r="L16" s="203">
        <v>33.4</v>
      </c>
      <c r="M16" s="23"/>
    </row>
    <row r="17" spans="1:14" ht="13" x14ac:dyDescent="0.3">
      <c r="A17" s="23"/>
      <c r="B17" s="192" t="s">
        <v>331</v>
      </c>
      <c r="C17" s="193" t="s">
        <v>342</v>
      </c>
      <c r="D17" s="194">
        <v>60.652000000000001</v>
      </c>
      <c r="E17" s="194">
        <v>66.278999999999996</v>
      </c>
      <c r="F17" s="195">
        <v>0.42799999999999999</v>
      </c>
      <c r="G17" s="195">
        <v>0.45600000000000002</v>
      </c>
      <c r="H17" s="196">
        <v>25.7</v>
      </c>
      <c r="I17" s="196">
        <v>22.86</v>
      </c>
      <c r="J17" s="196">
        <v>11.6</v>
      </c>
      <c r="K17" s="196">
        <v>10.42</v>
      </c>
      <c r="L17" s="197">
        <v>40.299999999999997</v>
      </c>
      <c r="M17" s="23"/>
    </row>
    <row r="18" spans="1:14" ht="13" x14ac:dyDescent="0.3">
      <c r="A18" s="23"/>
      <c r="B18" s="198" t="s">
        <v>332</v>
      </c>
      <c r="C18" s="199" t="s">
        <v>332</v>
      </c>
      <c r="D18" s="200">
        <v>39.368000000000002</v>
      </c>
      <c r="E18" s="200">
        <v>43.095999999999997</v>
      </c>
      <c r="F18" s="201">
        <v>0.58299999999999996</v>
      </c>
      <c r="G18" s="201">
        <v>0.59099999999999997</v>
      </c>
      <c r="H18" s="202">
        <v>30</v>
      </c>
      <c r="I18" s="202">
        <v>26.68</v>
      </c>
      <c r="J18" s="202">
        <v>17.8</v>
      </c>
      <c r="K18" s="202">
        <v>15.76</v>
      </c>
      <c r="L18" s="203">
        <v>41.5</v>
      </c>
      <c r="M18" s="23"/>
    </row>
    <row r="19" spans="1:14" ht="13.5" thickBot="1" x14ac:dyDescent="0.35">
      <c r="A19" s="23"/>
      <c r="B19" s="206" t="s">
        <v>333</v>
      </c>
      <c r="C19" s="207" t="s">
        <v>343</v>
      </c>
      <c r="D19" s="208">
        <v>31.274000000000001</v>
      </c>
      <c r="E19" s="208">
        <v>40.936</v>
      </c>
      <c r="F19" s="209">
        <v>0.45100000000000001</v>
      </c>
      <c r="G19" s="209">
        <v>0.58399999999999996</v>
      </c>
      <c r="H19" s="210">
        <v>14.1</v>
      </c>
      <c r="I19" s="210">
        <v>11.64</v>
      </c>
      <c r="J19" s="210">
        <v>6.5</v>
      </c>
      <c r="K19" s="210">
        <v>6.8</v>
      </c>
      <c r="L19" s="211">
        <v>17.399999999999999</v>
      </c>
      <c r="M19" s="23"/>
    </row>
    <row r="20" spans="1:14" ht="13" x14ac:dyDescent="0.3">
      <c r="A20" s="23"/>
      <c r="B20" s="193"/>
      <c r="C20" s="193"/>
      <c r="D20" s="194"/>
      <c r="E20" s="194"/>
      <c r="F20" s="195"/>
      <c r="G20" s="195"/>
      <c r="H20" s="196"/>
      <c r="I20" s="196"/>
      <c r="J20" s="196"/>
      <c r="K20" s="196"/>
      <c r="L20" s="196"/>
      <c r="M20" s="23"/>
    </row>
    <row r="21" spans="1:14" ht="13.5" thickBot="1" x14ac:dyDescent="0.35">
      <c r="A21" s="23"/>
      <c r="B21" s="193"/>
      <c r="C21" s="193"/>
      <c r="D21" s="194"/>
      <c r="E21" s="194"/>
      <c r="F21" s="195"/>
      <c r="G21" s="195"/>
      <c r="H21" s="196"/>
      <c r="I21" s="196"/>
      <c r="J21" s="196"/>
      <c r="K21" s="196"/>
      <c r="L21" s="196"/>
      <c r="M21" s="23"/>
    </row>
    <row r="22" spans="1:14" ht="13.5" thickBot="1" x14ac:dyDescent="0.35">
      <c r="A22" s="23"/>
      <c r="B22" s="212" t="s">
        <v>337</v>
      </c>
      <c r="C22" s="213" t="s">
        <v>344</v>
      </c>
      <c r="D22" s="214">
        <v>61.764000000000003</v>
      </c>
      <c r="E22" s="214">
        <v>84.584999999999994</v>
      </c>
      <c r="F22" s="215">
        <v>0.622</v>
      </c>
      <c r="G22" s="215">
        <v>0.64600000000000002</v>
      </c>
      <c r="H22" s="216">
        <v>14.4</v>
      </c>
      <c r="I22" s="216">
        <v>14.6</v>
      </c>
      <c r="J22" s="216">
        <v>11.2</v>
      </c>
      <c r="K22" s="216">
        <v>9.4</v>
      </c>
      <c r="L22" s="217">
        <v>25</v>
      </c>
      <c r="M22" s="23"/>
    </row>
    <row r="23" spans="1:14" ht="13.5" thickBot="1" x14ac:dyDescent="0.35">
      <c r="A23" s="2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23"/>
    </row>
    <row r="24" spans="1:14" ht="13" x14ac:dyDescent="0.3">
      <c r="A24" s="23"/>
      <c r="B24" s="193"/>
      <c r="C24" s="218" t="s">
        <v>282</v>
      </c>
      <c r="D24" s="219">
        <f>MIN(D11:D22,D22)</f>
        <v>8.3409999999999993</v>
      </c>
      <c r="E24" s="219">
        <f t="shared" ref="E24:L24" si="0">MIN(E11:E22,E22)</f>
        <v>7.9050000000000002</v>
      </c>
      <c r="F24" s="220">
        <f t="shared" si="0"/>
        <v>0.309</v>
      </c>
      <c r="G24" s="220">
        <f t="shared" si="0"/>
        <v>0.45600000000000002</v>
      </c>
      <c r="H24" s="221">
        <f t="shared" si="0"/>
        <v>14.1</v>
      </c>
      <c r="I24" s="221">
        <f t="shared" si="0"/>
        <v>11.64</v>
      </c>
      <c r="J24" s="221">
        <f t="shared" si="0"/>
        <v>5</v>
      </c>
      <c r="K24" s="221">
        <f t="shared" si="0"/>
        <v>6.8</v>
      </c>
      <c r="L24" s="222">
        <f t="shared" si="0"/>
        <v>17.399999999999999</v>
      </c>
      <c r="M24" s="23"/>
    </row>
    <row r="25" spans="1:14" ht="13" x14ac:dyDescent="0.3">
      <c r="A25" s="23"/>
      <c r="B25" s="193"/>
      <c r="C25" s="223" t="s">
        <v>362</v>
      </c>
      <c r="D25" s="224">
        <f>_xlfn.PERCENTILE.EXC(D11:D22,0.25)</f>
        <v>19.069499999999998</v>
      </c>
      <c r="E25" s="224">
        <f t="shared" ref="E25:L25" si="1">_xlfn.PERCENTILE.EXC(E11:E22,0.25)</f>
        <v>18.833749999999998</v>
      </c>
      <c r="F25" s="225">
        <f t="shared" si="1"/>
        <v>0.40549999999999997</v>
      </c>
      <c r="G25" s="225">
        <f t="shared" si="1"/>
        <v>0.51624999999999999</v>
      </c>
      <c r="H25" s="226">
        <f t="shared" si="1"/>
        <v>15.15</v>
      </c>
      <c r="I25" s="226">
        <f t="shared" si="1"/>
        <v>15.005000000000001</v>
      </c>
      <c r="J25" s="226">
        <f t="shared" si="1"/>
        <v>6.2750000000000004</v>
      </c>
      <c r="K25" s="226">
        <f t="shared" si="1"/>
        <v>9.2249999999999996</v>
      </c>
      <c r="L25" s="227">
        <f t="shared" si="1"/>
        <v>24.299999999999997</v>
      </c>
      <c r="M25" s="23"/>
    </row>
    <row r="26" spans="1:14" ht="13" x14ac:dyDescent="0.3">
      <c r="A26" s="23"/>
      <c r="B26" s="193"/>
      <c r="C26" s="192" t="s">
        <v>283</v>
      </c>
      <c r="D26" s="194">
        <f>MEDIAN(D11:D19,D22)</f>
        <v>35.320999999999998</v>
      </c>
      <c r="E26" s="194">
        <f t="shared" ref="E26:L26" si="2">MEDIAN(E11:E19,E22)</f>
        <v>42.015999999999998</v>
      </c>
      <c r="F26" s="195">
        <f t="shared" si="2"/>
        <v>0.48050000000000004</v>
      </c>
      <c r="G26" s="195">
        <f t="shared" si="2"/>
        <v>0.56800000000000006</v>
      </c>
      <c r="H26" s="196">
        <f t="shared" si="2"/>
        <v>19.899999999999999</v>
      </c>
      <c r="I26" s="196">
        <f t="shared" si="2"/>
        <v>18.96</v>
      </c>
      <c r="J26" s="196">
        <f t="shared" si="2"/>
        <v>11.1</v>
      </c>
      <c r="K26" s="196">
        <f t="shared" si="2"/>
        <v>10.045</v>
      </c>
      <c r="L26" s="197">
        <f t="shared" si="2"/>
        <v>29.45</v>
      </c>
      <c r="M26" s="23"/>
    </row>
    <row r="27" spans="1:14" ht="13" x14ac:dyDescent="0.3">
      <c r="A27" s="23"/>
      <c r="B27" s="193"/>
      <c r="C27" s="223" t="s">
        <v>284</v>
      </c>
      <c r="D27" s="224">
        <f>AVERAGE(D11:D19,D22)</f>
        <v>46.4131</v>
      </c>
      <c r="E27" s="224">
        <f t="shared" ref="E27:L27" si="3">AVERAGE(E11:E19,E22)</f>
        <v>52.556799999999996</v>
      </c>
      <c r="F27" s="225">
        <f t="shared" si="3"/>
        <v>0.48789999999999994</v>
      </c>
      <c r="G27" s="225">
        <f t="shared" si="3"/>
        <v>0.56809999999999994</v>
      </c>
      <c r="H27" s="226">
        <f t="shared" si="3"/>
        <v>20.66</v>
      </c>
      <c r="I27" s="226">
        <f t="shared" si="3"/>
        <v>18.979999999999997</v>
      </c>
      <c r="J27" s="226">
        <f t="shared" si="3"/>
        <v>10.809999999999999</v>
      </c>
      <c r="K27" s="226">
        <f t="shared" si="3"/>
        <v>10.658000000000001</v>
      </c>
      <c r="L27" s="227">
        <f t="shared" si="3"/>
        <v>33.36</v>
      </c>
      <c r="M27" s="23"/>
    </row>
    <row r="28" spans="1:14" ht="13" x14ac:dyDescent="0.3">
      <c r="A28" s="23"/>
      <c r="B28" s="193"/>
      <c r="C28" s="192" t="s">
        <v>363</v>
      </c>
      <c r="D28" s="194">
        <f>_xlfn.PERCENTILE.EXC(D11:D22,0.75)</f>
        <v>65.098250000000007</v>
      </c>
      <c r="E28" s="194">
        <f t="shared" ref="E28:L28" si="4">_xlfn.PERCENTILE.EXC(E11:E22,0.75)</f>
        <v>78.588750000000005</v>
      </c>
      <c r="F28" s="195">
        <f t="shared" si="4"/>
        <v>0.59275</v>
      </c>
      <c r="G28" s="195">
        <f t="shared" si="4"/>
        <v>0.63175000000000003</v>
      </c>
      <c r="H28" s="196">
        <f t="shared" si="4"/>
        <v>26.2</v>
      </c>
      <c r="I28" s="196">
        <f t="shared" si="4"/>
        <v>23.032499999999999</v>
      </c>
      <c r="J28" s="196">
        <f t="shared" si="4"/>
        <v>14.3</v>
      </c>
      <c r="K28" s="196">
        <f t="shared" si="4"/>
        <v>12.72</v>
      </c>
      <c r="L28" s="197">
        <f t="shared" si="4"/>
        <v>43.524999999999999</v>
      </c>
      <c r="M28" s="23"/>
    </row>
    <row r="29" spans="1:14" ht="13.5" thickBot="1" x14ac:dyDescent="0.35">
      <c r="A29" s="23"/>
      <c r="B29" s="193"/>
      <c r="C29" s="228" t="s">
        <v>285</v>
      </c>
      <c r="D29" s="229">
        <f>MAX(D11:D19,D22)</f>
        <v>121.30200000000001</v>
      </c>
      <c r="E29" s="229">
        <f t="shared" ref="E29:L29" si="5">MAX(E11:E19,E22)</f>
        <v>135.375</v>
      </c>
      <c r="F29" s="230">
        <f t="shared" si="5"/>
        <v>0.67200000000000004</v>
      </c>
      <c r="G29" s="230">
        <f t="shared" si="5"/>
        <v>0.68799999999999994</v>
      </c>
      <c r="H29" s="231">
        <f t="shared" si="5"/>
        <v>30</v>
      </c>
      <c r="I29" s="231">
        <f t="shared" si="5"/>
        <v>26.68</v>
      </c>
      <c r="J29" s="231">
        <f t="shared" si="5"/>
        <v>17.8</v>
      </c>
      <c r="K29" s="231">
        <f t="shared" si="5"/>
        <v>15.76</v>
      </c>
      <c r="L29" s="232">
        <f t="shared" si="5"/>
        <v>53.5</v>
      </c>
      <c r="M29" s="23"/>
    </row>
    <row r="30" spans="1:14" ht="12" x14ac:dyDescent="0.3">
      <c r="A30" s="2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13"/>
    </row>
    <row r="31" spans="1:14" ht="12" x14ac:dyDescent="0.3">
      <c r="A31" s="2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13"/>
    </row>
    <row r="32" spans="1:14" ht="12" x14ac:dyDescent="0.3">
      <c r="A32" s="2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13"/>
    </row>
    <row r="33" spans="1:14" ht="12" x14ac:dyDescent="0.3">
      <c r="A33" s="2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13"/>
    </row>
    <row r="34" spans="1:14" ht="12" x14ac:dyDescent="0.3">
      <c r="A34" s="2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13"/>
    </row>
    <row r="35" spans="1:14" ht="12" x14ac:dyDescent="0.3">
      <c r="A35" s="2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13"/>
    </row>
    <row r="36" spans="1:14" ht="12.5" thickBot="1" x14ac:dyDescent="0.35">
      <c r="A36" s="2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13"/>
    </row>
    <row r="37" spans="1:14" ht="14.5" x14ac:dyDescent="0.35">
      <c r="A37" s="23"/>
      <c r="B37" s="234" t="s">
        <v>360</v>
      </c>
      <c r="C37" s="235"/>
      <c r="D37" s="15"/>
      <c r="E37" s="234" t="s">
        <v>369</v>
      </c>
      <c r="F37" s="235"/>
      <c r="G37" s="15"/>
      <c r="H37" s="234" t="s">
        <v>370</v>
      </c>
      <c r="I37" s="235"/>
      <c r="J37" s="233"/>
      <c r="K37" s="233"/>
      <c r="L37" s="233"/>
      <c r="M37" s="233"/>
      <c r="N37" s="13"/>
    </row>
    <row r="38" spans="1:14" ht="14.5" x14ac:dyDescent="0.35">
      <c r="A38" s="23"/>
      <c r="B38" s="236" t="s">
        <v>361</v>
      </c>
      <c r="C38" s="237">
        <v>15.2</v>
      </c>
      <c r="D38" s="15"/>
      <c r="E38" s="236" t="s">
        <v>361</v>
      </c>
      <c r="F38" s="237">
        <v>20.3</v>
      </c>
      <c r="G38" s="15"/>
      <c r="H38" s="236" t="s">
        <v>361</v>
      </c>
      <c r="I38" s="237">
        <v>26.2</v>
      </c>
      <c r="J38" s="233"/>
      <c r="K38" s="233"/>
      <c r="L38" s="233"/>
      <c r="M38" s="233"/>
      <c r="N38" s="13"/>
    </row>
    <row r="39" spans="1:14" ht="14.5" x14ac:dyDescent="0.35">
      <c r="A39" s="23"/>
      <c r="B39" s="236" t="s">
        <v>364</v>
      </c>
      <c r="C39" s="238">
        <v>4696</v>
      </c>
      <c r="D39" s="15"/>
      <c r="E39" s="236" t="s">
        <v>364</v>
      </c>
      <c r="F39" s="238">
        <v>4696</v>
      </c>
      <c r="G39" s="15"/>
      <c r="H39" s="236" t="s">
        <v>364</v>
      </c>
      <c r="I39" s="238">
        <v>4696</v>
      </c>
      <c r="J39" s="233"/>
      <c r="K39" s="239"/>
      <c r="L39" s="233"/>
      <c r="M39" s="233"/>
      <c r="N39" s="13"/>
    </row>
    <row r="40" spans="1:14" ht="14.5" x14ac:dyDescent="0.35">
      <c r="A40" s="23"/>
      <c r="B40" s="236" t="s">
        <v>371</v>
      </c>
      <c r="C40" s="240">
        <f>C39*C38</f>
        <v>71379.199999999997</v>
      </c>
      <c r="D40" s="15"/>
      <c r="E40" s="236" t="s">
        <v>371</v>
      </c>
      <c r="F40" s="240">
        <f>F39*F38</f>
        <v>95328.8</v>
      </c>
      <c r="G40" s="15"/>
      <c r="H40" s="236" t="s">
        <v>371</v>
      </c>
      <c r="I40" s="240">
        <f>I39*I38</f>
        <v>123035.2</v>
      </c>
      <c r="J40" s="233"/>
      <c r="K40" s="241"/>
      <c r="L40" s="233"/>
      <c r="M40" s="233"/>
      <c r="N40" s="13"/>
    </row>
    <row r="41" spans="1:14" ht="14.5" x14ac:dyDescent="0.35">
      <c r="A41" s="23"/>
      <c r="B41" s="87" t="s">
        <v>365</v>
      </c>
      <c r="C41" s="242">
        <f>-DCF!$D$48</f>
        <v>-23299</v>
      </c>
      <c r="D41" s="15"/>
      <c r="E41" s="87" t="s">
        <v>365</v>
      </c>
      <c r="F41" s="242">
        <f>-DCF!$D$48</f>
        <v>-23299</v>
      </c>
      <c r="G41" s="15"/>
      <c r="H41" s="87" t="s">
        <v>365</v>
      </c>
      <c r="I41" s="242">
        <f>-DCF!$D$48</f>
        <v>-23299</v>
      </c>
      <c r="J41" s="233"/>
      <c r="K41" s="243"/>
      <c r="L41" s="233"/>
      <c r="M41" s="233"/>
      <c r="N41" s="13"/>
    </row>
    <row r="42" spans="1:14" ht="14.5" x14ac:dyDescent="0.35">
      <c r="A42" s="23"/>
      <c r="B42" s="87" t="s">
        <v>366</v>
      </c>
      <c r="C42" s="242">
        <f>'Balance Sheet'!$G$18</f>
        <v>2877</v>
      </c>
      <c r="D42" s="15"/>
      <c r="E42" s="87" t="s">
        <v>366</v>
      </c>
      <c r="F42" s="242">
        <f>'Balance Sheet'!$G$18</f>
        <v>2877</v>
      </c>
      <c r="G42" s="15"/>
      <c r="H42" s="87" t="s">
        <v>366</v>
      </c>
      <c r="I42" s="242">
        <f>'Balance Sheet'!$G$18</f>
        <v>2877</v>
      </c>
      <c r="J42" s="233"/>
      <c r="K42" s="233"/>
      <c r="L42" s="233"/>
      <c r="M42" s="233"/>
      <c r="N42" s="13"/>
    </row>
    <row r="43" spans="1:14" ht="14.5" x14ac:dyDescent="0.35">
      <c r="A43" s="23"/>
      <c r="B43" s="244" t="s">
        <v>367</v>
      </c>
      <c r="C43" s="245">
        <f>SUM(C40:C42)</f>
        <v>50957.2</v>
      </c>
      <c r="D43" s="15"/>
      <c r="E43" s="244" t="s">
        <v>367</v>
      </c>
      <c r="F43" s="245">
        <f>SUM(F40:F42)</f>
        <v>74906.8</v>
      </c>
      <c r="G43" s="15"/>
      <c r="H43" s="244" t="s">
        <v>367</v>
      </c>
      <c r="I43" s="245">
        <f>SUM(I40:I42)</f>
        <v>102613.2</v>
      </c>
      <c r="J43" s="233"/>
      <c r="K43" s="241"/>
      <c r="L43" s="233"/>
      <c r="M43" s="233"/>
      <c r="N43" s="13"/>
    </row>
    <row r="44" spans="1:14" ht="14.5" x14ac:dyDescent="0.35">
      <c r="A44" s="23"/>
      <c r="B44" s="87" t="s">
        <v>262</v>
      </c>
      <c r="C44" s="246">
        <f>'Balance Sheet'!$G$70</f>
        <v>560.30137300000001</v>
      </c>
      <c r="D44" s="15"/>
      <c r="E44" s="87" t="s">
        <v>262</v>
      </c>
      <c r="F44" s="246">
        <f>'Balance Sheet'!$G$70</f>
        <v>560.30137300000001</v>
      </c>
      <c r="G44" s="15"/>
      <c r="H44" s="87" t="s">
        <v>262</v>
      </c>
      <c r="I44" s="246">
        <f>'Balance Sheet'!$G$70</f>
        <v>560.30137300000001</v>
      </c>
      <c r="J44" s="233"/>
      <c r="K44" s="233"/>
      <c r="L44" s="233"/>
      <c r="M44" s="233"/>
      <c r="N44" s="13"/>
    </row>
    <row r="45" spans="1:14" ht="14.5" x14ac:dyDescent="0.35">
      <c r="A45" s="23"/>
      <c r="B45" s="247" t="s">
        <v>263</v>
      </c>
      <c r="C45" s="248">
        <f>C43/C44</f>
        <v>90.946055918374483</v>
      </c>
      <c r="D45" s="15"/>
      <c r="E45" s="247" t="s">
        <v>263</v>
      </c>
      <c r="F45" s="248">
        <f>F43/F44</f>
        <v>133.69019532993363</v>
      </c>
      <c r="G45" s="15"/>
      <c r="H45" s="247" t="s">
        <v>263</v>
      </c>
      <c r="I45" s="248">
        <f>I43/I44</f>
        <v>183.13929778644322</v>
      </c>
      <c r="J45" s="233"/>
      <c r="K45" s="241"/>
      <c r="L45" s="233"/>
      <c r="M45" s="233"/>
      <c r="N45" s="13"/>
    </row>
    <row r="46" spans="1:14" ht="15" thickBot="1" x14ac:dyDescent="0.4">
      <c r="A46" s="23"/>
      <c r="B46" s="249" t="s">
        <v>368</v>
      </c>
      <c r="C46" s="250">
        <f>C45/$C$4-1</f>
        <v>-0.16302175668714813</v>
      </c>
      <c r="D46" s="15"/>
      <c r="E46" s="249" t="s">
        <v>368</v>
      </c>
      <c r="F46" s="250">
        <f>F45/$C$4-1</f>
        <v>0.23035335293515224</v>
      </c>
      <c r="G46" s="15"/>
      <c r="H46" s="249" t="s">
        <v>368</v>
      </c>
      <c r="I46" s="250">
        <f>I45/$C$4-1</f>
        <v>0.68543436210604858</v>
      </c>
      <c r="J46" s="233"/>
      <c r="K46" s="233"/>
      <c r="L46" s="233"/>
      <c r="M46" s="233"/>
      <c r="N46" s="13"/>
    </row>
    <row r="47" spans="1:14" ht="10.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4" ht="10.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</sheetData>
  <mergeCells count="11">
    <mergeCell ref="B8:B10"/>
    <mergeCell ref="C8:C10"/>
    <mergeCell ref="D8:D10"/>
    <mergeCell ref="E8:E10"/>
    <mergeCell ref="L8:L10"/>
    <mergeCell ref="I8:I10"/>
    <mergeCell ref="J8:J10"/>
    <mergeCell ref="F8:F10"/>
    <mergeCell ref="G8:G10"/>
    <mergeCell ref="H8:H10"/>
    <mergeCell ref="K8:K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5387-449C-456B-9E5B-AA1B7C584498}">
  <dimension ref="B3:D16"/>
  <sheetViews>
    <sheetView showGridLines="0" workbookViewId="0">
      <selection activeCell="C9" sqref="C9"/>
    </sheetView>
  </sheetViews>
  <sheetFormatPr defaultRowHeight="10" x14ac:dyDescent="0.2"/>
  <cols>
    <col min="2" max="2" width="17" bestFit="1" customWidth="1"/>
    <col min="3" max="3" width="11.26953125" bestFit="1" customWidth="1"/>
  </cols>
  <sheetData>
    <row r="3" spans="2:4" ht="14.5" x14ac:dyDescent="0.35">
      <c r="B3" s="14" t="s">
        <v>337</v>
      </c>
      <c r="C3" s="15"/>
      <c r="D3" s="15"/>
    </row>
    <row r="4" spans="2:4" ht="14.5" x14ac:dyDescent="0.35">
      <c r="B4" s="16" t="s">
        <v>372</v>
      </c>
      <c r="C4" s="15"/>
      <c r="D4" s="15"/>
    </row>
    <row r="5" spans="2:4" ht="14.5" x14ac:dyDescent="0.35">
      <c r="B5" s="15"/>
      <c r="C5" s="15"/>
      <c r="D5" s="15"/>
    </row>
    <row r="6" spans="2:4" ht="14.5" x14ac:dyDescent="0.35">
      <c r="B6" s="17" t="s">
        <v>373</v>
      </c>
      <c r="C6" s="18">
        <f ca="1">TODAY()</f>
        <v>45244</v>
      </c>
      <c r="D6" s="15"/>
    </row>
    <row r="7" spans="2:4" ht="14.5" x14ac:dyDescent="0.35">
      <c r="B7" s="17" t="s">
        <v>374</v>
      </c>
      <c r="C7" s="19">
        <v>108.66</v>
      </c>
      <c r="D7" s="15"/>
    </row>
    <row r="8" spans="2:4" ht="14.5" x14ac:dyDescent="0.35">
      <c r="B8" s="15"/>
      <c r="C8" s="15"/>
      <c r="D8" s="15"/>
    </row>
    <row r="9" spans="2:4" ht="14.5" x14ac:dyDescent="0.35">
      <c r="B9" s="17" t="s">
        <v>375</v>
      </c>
      <c r="C9" s="17">
        <v>2</v>
      </c>
      <c r="D9" s="14" t="str">
        <f>IF(C9=1,"Base",IF(C9=2,"Bull",IF(C9=3,"Bear","Error")))</f>
        <v>Bull</v>
      </c>
    </row>
    <row r="10" spans="2:4" ht="14.5" x14ac:dyDescent="0.35">
      <c r="B10" s="15"/>
      <c r="C10" s="15">
        <v>1</v>
      </c>
      <c r="D10" s="15" t="s">
        <v>196</v>
      </c>
    </row>
    <row r="11" spans="2:4" ht="14.5" x14ac:dyDescent="0.35">
      <c r="B11" s="15"/>
      <c r="C11" s="15">
        <v>2</v>
      </c>
      <c r="D11" s="15" t="s">
        <v>197</v>
      </c>
    </row>
    <row r="12" spans="2:4" ht="14.5" x14ac:dyDescent="0.35">
      <c r="B12" s="15"/>
      <c r="C12" s="15">
        <v>3</v>
      </c>
      <c r="D12" s="15" t="s">
        <v>198</v>
      </c>
    </row>
    <row r="13" spans="2:4" ht="10.5" x14ac:dyDescent="0.25">
      <c r="B13" s="23"/>
      <c r="C13" s="23"/>
      <c r="D13" s="23"/>
    </row>
    <row r="14" spans="2:4" ht="14.5" x14ac:dyDescent="0.35">
      <c r="B14" s="20" t="s">
        <v>268</v>
      </c>
      <c r="C14" s="22">
        <f ca="1">DCF!S29</f>
        <v>155.55739557876177</v>
      </c>
      <c r="D14" s="23"/>
    </row>
    <row r="15" spans="2:4" ht="14.5" x14ac:dyDescent="0.35">
      <c r="B15" s="20" t="s">
        <v>380</v>
      </c>
      <c r="C15" s="21">
        <f ca="1">C14/C7-1</f>
        <v>0.43159760333850339</v>
      </c>
      <c r="D15" s="23"/>
    </row>
    <row r="16" spans="2:4" ht="10.5" x14ac:dyDescent="0.25">
      <c r="B16" s="23"/>
      <c r="C16" s="23"/>
      <c r="D16" s="23"/>
    </row>
  </sheetData>
  <dataValidations count="1">
    <dataValidation type="list" allowBlank="1" showInputMessage="1" showErrorMessage="1" sqref="C9" xr:uid="{F0B5F95C-781A-41F6-8761-EA984FDC1413}">
      <formula1>$C$10:$C$12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/>
  </sheetViews>
  <sheetFormatPr defaultRowHeight="10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5:IU116"/>
  <sheetViews>
    <sheetView showGridLines="0" topLeftCell="A19" workbookViewId="0">
      <selection activeCell="J55" sqref="J55"/>
    </sheetView>
  </sheetViews>
  <sheetFormatPr defaultRowHeight="10" x14ac:dyDescent="0.2"/>
  <cols>
    <col min="1" max="1" width="45.81640625" customWidth="1"/>
    <col min="2" max="7" width="14.81640625" customWidth="1"/>
  </cols>
  <sheetData>
    <row r="5" spans="1:255" ht="17" x14ac:dyDescent="0.35">
      <c r="A5" s="1" t="s">
        <v>0</v>
      </c>
    </row>
    <row r="7" spans="1:255" ht="10.5" x14ac:dyDescent="0.25">
      <c r="A7" s="2" t="s">
        <v>1</v>
      </c>
      <c r="B7" s="3" t="s">
        <v>2</v>
      </c>
      <c r="C7" t="s">
        <v>3</v>
      </c>
      <c r="D7" s="4" t="s">
        <v>4</v>
      </c>
      <c r="E7" s="3" t="s">
        <v>5</v>
      </c>
      <c r="F7" t="s">
        <v>6</v>
      </c>
    </row>
    <row r="8" spans="1:255" ht="10.5" x14ac:dyDescent="0.25">
      <c r="A8" s="4"/>
      <c r="B8" s="3" t="s">
        <v>7</v>
      </c>
      <c r="C8" t="s">
        <v>8</v>
      </c>
      <c r="D8" s="4" t="s">
        <v>4</v>
      </c>
      <c r="E8" s="3" t="s">
        <v>9</v>
      </c>
      <c r="F8" t="s">
        <v>10</v>
      </c>
    </row>
    <row r="9" spans="1:255" ht="10.5" x14ac:dyDescent="0.25">
      <c r="A9" s="4"/>
      <c r="B9" s="3" t="s">
        <v>11</v>
      </c>
      <c r="C9" t="s">
        <v>12</v>
      </c>
      <c r="D9" s="4" t="s">
        <v>4</v>
      </c>
      <c r="E9" s="3" t="s">
        <v>13</v>
      </c>
      <c r="F9" t="s">
        <v>14</v>
      </c>
    </row>
    <row r="10" spans="1:255" ht="10.5" x14ac:dyDescent="0.25">
      <c r="A10" s="24"/>
      <c r="B10" s="25" t="s">
        <v>15</v>
      </c>
      <c r="C10" s="23" t="s">
        <v>16</v>
      </c>
      <c r="D10" s="24" t="s">
        <v>4</v>
      </c>
      <c r="E10" s="25" t="s">
        <v>17</v>
      </c>
      <c r="F10" s="26" t="s">
        <v>18</v>
      </c>
      <c r="G10" s="23"/>
      <c r="H10" s="23"/>
      <c r="I10" s="23"/>
      <c r="J10" s="23"/>
      <c r="K10" s="23"/>
      <c r="L10" s="23"/>
      <c r="M10" s="23"/>
      <c r="N10" s="23"/>
      <c r="O10" s="23"/>
    </row>
    <row r="11" spans="1:255" ht="10.5" x14ac:dyDescent="0.25">
      <c r="A11" s="24"/>
      <c r="B11" s="25" t="s">
        <v>19</v>
      </c>
      <c r="C11" s="23" t="s">
        <v>20</v>
      </c>
      <c r="D11" s="24" t="s">
        <v>4</v>
      </c>
      <c r="E11" s="27"/>
      <c r="F11" s="27"/>
      <c r="G11" s="23"/>
      <c r="H11" s="23"/>
      <c r="I11" s="23"/>
      <c r="J11" s="23"/>
      <c r="K11" s="23"/>
      <c r="L11" s="23"/>
      <c r="M11" s="23"/>
      <c r="N11" s="23"/>
      <c r="O11" s="23"/>
    </row>
    <row r="12" spans="1:255" ht="10.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55" ht="10.5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255" ht="10.5" x14ac:dyDescent="0.25">
      <c r="A14" s="28" t="s">
        <v>21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3"/>
      <c r="M14" s="29"/>
      <c r="N14" s="29"/>
      <c r="O14" s="2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31.5" x14ac:dyDescent="0.25">
      <c r="A15" s="30" t="s">
        <v>22</v>
      </c>
      <c r="B15" s="31" t="s">
        <v>23</v>
      </c>
      <c r="C15" s="31" t="s">
        <v>24</v>
      </c>
      <c r="D15" s="31" t="s">
        <v>25</v>
      </c>
      <c r="E15" s="31" t="s">
        <v>26</v>
      </c>
      <c r="F15" s="31" t="s">
        <v>27</v>
      </c>
      <c r="G15" s="31" t="s">
        <v>28</v>
      </c>
      <c r="H15" s="23"/>
      <c r="I15" s="23"/>
      <c r="J15" s="23"/>
      <c r="K15" s="23"/>
      <c r="L15" s="23"/>
      <c r="M15" s="23"/>
      <c r="N15" s="23"/>
      <c r="O15" s="23"/>
    </row>
    <row r="16" spans="1:255" ht="10.5" x14ac:dyDescent="0.25">
      <c r="A16" s="32" t="s">
        <v>29</v>
      </c>
      <c r="B16" s="33" t="s">
        <v>30</v>
      </c>
      <c r="C16" s="33" t="s">
        <v>30</v>
      </c>
      <c r="D16" s="33" t="s">
        <v>30</v>
      </c>
      <c r="E16" s="33" t="s">
        <v>30</v>
      </c>
      <c r="F16" s="33" t="s">
        <v>30</v>
      </c>
      <c r="G16" s="33" t="s">
        <v>30</v>
      </c>
      <c r="H16" s="23"/>
      <c r="I16" s="23"/>
      <c r="J16" s="23"/>
      <c r="K16" s="23"/>
      <c r="L16" s="23"/>
      <c r="M16" s="23"/>
      <c r="N16" s="23"/>
      <c r="O16" s="23"/>
    </row>
    <row r="17" spans="1:15" ht="10.5" x14ac:dyDescent="0.25">
      <c r="A17" s="34" t="s">
        <v>31</v>
      </c>
      <c r="B17" s="24"/>
      <c r="C17" s="24"/>
      <c r="D17" s="24"/>
      <c r="E17" s="24"/>
      <c r="F17" s="24"/>
      <c r="G17" s="24"/>
      <c r="H17" s="23"/>
      <c r="I17" s="23"/>
      <c r="J17" s="23"/>
      <c r="K17" s="23"/>
      <c r="L17" s="23"/>
      <c r="M17" s="23"/>
      <c r="N17" s="23"/>
      <c r="O17" s="23"/>
    </row>
    <row r="18" spans="1:15" ht="10.5" x14ac:dyDescent="0.25">
      <c r="A18" s="24" t="s">
        <v>32</v>
      </c>
      <c r="B18" s="35">
        <v>4979</v>
      </c>
      <c r="C18" s="35">
        <v>5202</v>
      </c>
      <c r="D18" s="35">
        <v>6036</v>
      </c>
      <c r="E18" s="35">
        <v>7146</v>
      </c>
      <c r="F18" s="35">
        <v>7292</v>
      </c>
      <c r="G18" s="35">
        <v>7363</v>
      </c>
      <c r="H18" s="23"/>
      <c r="I18" s="23"/>
      <c r="J18" s="23"/>
      <c r="K18" s="23"/>
      <c r="L18" s="23"/>
      <c r="M18" s="23"/>
      <c r="N18" s="23"/>
      <c r="O18" s="23"/>
    </row>
    <row r="19" spans="1:15" ht="10.5" x14ac:dyDescent="0.25">
      <c r="A19" s="24" t="s">
        <v>33</v>
      </c>
      <c r="B19" s="35" t="s">
        <v>34</v>
      </c>
      <c r="C19" s="35" t="s">
        <v>34</v>
      </c>
      <c r="D19" s="35" t="s">
        <v>34</v>
      </c>
      <c r="E19" s="35" t="s">
        <v>34</v>
      </c>
      <c r="F19" s="35" t="s">
        <v>34</v>
      </c>
      <c r="G19" s="35" t="s">
        <v>34</v>
      </c>
      <c r="H19" s="23"/>
      <c r="I19" s="23"/>
      <c r="J19" s="23"/>
      <c r="K19" s="23"/>
      <c r="L19" s="23"/>
      <c r="M19" s="23"/>
      <c r="N19" s="23"/>
      <c r="O19" s="23"/>
    </row>
    <row r="20" spans="1:15" ht="10.5" x14ac:dyDescent="0.25">
      <c r="A20" s="34" t="s">
        <v>35</v>
      </c>
      <c r="B20" s="36">
        <v>4979</v>
      </c>
      <c r="C20" s="36">
        <v>5202</v>
      </c>
      <c r="D20" s="36">
        <v>6036</v>
      </c>
      <c r="E20" s="36">
        <v>7146</v>
      </c>
      <c r="F20" s="36">
        <v>7292</v>
      </c>
      <c r="G20" s="36">
        <v>7363</v>
      </c>
      <c r="H20" s="23"/>
      <c r="I20" s="23"/>
      <c r="J20" s="23"/>
      <c r="K20" s="23"/>
      <c r="L20" s="23"/>
      <c r="M20" s="23"/>
      <c r="N20" s="23"/>
      <c r="O20" s="23"/>
    </row>
    <row r="21" spans="1:15" ht="10.5" x14ac:dyDescent="0.25">
      <c r="A21" s="24"/>
      <c r="B21" s="24"/>
      <c r="C21" s="24"/>
      <c r="D21" s="24"/>
      <c r="E21" s="24"/>
      <c r="F21" s="24"/>
      <c r="G21" s="24"/>
      <c r="H21" s="23"/>
      <c r="I21" s="23"/>
      <c r="J21" s="23"/>
      <c r="K21" s="23"/>
      <c r="L21" s="23"/>
      <c r="M21" s="23"/>
      <c r="N21" s="23"/>
      <c r="O21" s="23"/>
    </row>
    <row r="22" spans="1:15" ht="10.5" x14ac:dyDescent="0.25">
      <c r="A22" s="24" t="s">
        <v>36</v>
      </c>
      <c r="B22" s="35" t="s">
        <v>34</v>
      </c>
      <c r="C22" s="35" t="s">
        <v>34</v>
      </c>
      <c r="D22" s="35" t="s">
        <v>34</v>
      </c>
      <c r="E22" s="35" t="s">
        <v>34</v>
      </c>
      <c r="F22" s="35" t="s">
        <v>34</v>
      </c>
      <c r="G22" s="35" t="s">
        <v>34</v>
      </c>
      <c r="H22" s="23"/>
      <c r="I22" s="23"/>
      <c r="J22" s="23"/>
      <c r="K22" s="23"/>
      <c r="L22" s="23"/>
      <c r="M22" s="23"/>
      <c r="N22" s="23"/>
      <c r="O22" s="23"/>
    </row>
    <row r="23" spans="1:15" ht="10.5" x14ac:dyDescent="0.25">
      <c r="A23" s="34" t="s">
        <v>37</v>
      </c>
      <c r="B23" s="36">
        <v>4979</v>
      </c>
      <c r="C23" s="36">
        <v>5202</v>
      </c>
      <c r="D23" s="36">
        <v>6036</v>
      </c>
      <c r="E23" s="36">
        <v>7146</v>
      </c>
      <c r="F23" s="36">
        <v>7292</v>
      </c>
      <c r="G23" s="36">
        <v>7363</v>
      </c>
      <c r="H23" s="23"/>
      <c r="I23" s="23"/>
      <c r="J23" s="23"/>
      <c r="K23" s="23"/>
      <c r="L23" s="23"/>
      <c r="M23" s="23"/>
      <c r="N23" s="23"/>
      <c r="O23" s="23"/>
    </row>
    <row r="24" spans="1:15" ht="10.5" x14ac:dyDescent="0.25">
      <c r="A24" s="24"/>
      <c r="B24" s="24"/>
      <c r="C24" s="24"/>
      <c r="D24" s="24"/>
      <c r="E24" s="24"/>
      <c r="F24" s="24"/>
      <c r="G24" s="24"/>
      <c r="H24" s="23"/>
      <c r="I24" s="23"/>
      <c r="J24" s="23"/>
      <c r="K24" s="23"/>
      <c r="L24" s="23"/>
      <c r="M24" s="23"/>
      <c r="N24" s="23"/>
      <c r="O24" s="23"/>
    </row>
    <row r="25" spans="1:15" ht="10.5" x14ac:dyDescent="0.25">
      <c r="A25" s="24" t="s">
        <v>38</v>
      </c>
      <c r="B25" s="35">
        <v>1780</v>
      </c>
      <c r="C25" s="35">
        <v>1865</v>
      </c>
      <c r="D25" s="35">
        <v>2147</v>
      </c>
      <c r="E25" s="35">
        <v>2589</v>
      </c>
      <c r="F25" s="35">
        <v>2532</v>
      </c>
      <c r="G25" s="35">
        <v>2539</v>
      </c>
      <c r="H25" s="23"/>
      <c r="I25" s="23"/>
      <c r="J25" s="23"/>
      <c r="K25" s="23"/>
      <c r="L25" s="23"/>
      <c r="M25" s="23"/>
      <c r="N25" s="23"/>
      <c r="O25" s="23"/>
    </row>
    <row r="26" spans="1:15" ht="10.5" x14ac:dyDescent="0.25">
      <c r="A26" s="24" t="s">
        <v>39</v>
      </c>
      <c r="B26" s="35" t="s">
        <v>34</v>
      </c>
      <c r="C26" s="35" t="s">
        <v>34</v>
      </c>
      <c r="D26" s="35" t="s">
        <v>34</v>
      </c>
      <c r="E26" s="35" t="s">
        <v>34</v>
      </c>
      <c r="F26" s="35" t="s">
        <v>34</v>
      </c>
      <c r="G26" s="35" t="s">
        <v>34</v>
      </c>
      <c r="H26" s="23"/>
      <c r="I26" s="23"/>
      <c r="J26" s="23"/>
      <c r="K26" s="23"/>
      <c r="L26" s="23"/>
      <c r="M26" s="23"/>
      <c r="N26" s="23"/>
      <c r="O26" s="23"/>
    </row>
    <row r="27" spans="1:15" ht="10.5" x14ac:dyDescent="0.25">
      <c r="A27" s="24" t="s">
        <v>40</v>
      </c>
      <c r="B27" s="35">
        <v>586</v>
      </c>
      <c r="C27" s="35">
        <v>662</v>
      </c>
      <c r="D27" s="35">
        <v>751</v>
      </c>
      <c r="E27" s="35">
        <v>1009</v>
      </c>
      <c r="F27" s="35">
        <v>1031</v>
      </c>
      <c r="G27" s="35">
        <v>1048</v>
      </c>
      <c r="H27" s="23"/>
      <c r="I27" s="23"/>
      <c r="J27" s="23"/>
      <c r="K27" s="23"/>
      <c r="L27" s="23"/>
      <c r="M27" s="23"/>
      <c r="N27" s="23"/>
      <c r="O27" s="23"/>
    </row>
    <row r="28" spans="1:15" ht="10.5" x14ac:dyDescent="0.25">
      <c r="A28" s="24" t="s">
        <v>41</v>
      </c>
      <c r="B28" s="35" t="s">
        <v>34</v>
      </c>
      <c r="C28" s="35" t="s">
        <v>34</v>
      </c>
      <c r="D28" s="35" t="s">
        <v>34</v>
      </c>
      <c r="E28" s="35" t="s">
        <v>34</v>
      </c>
      <c r="F28" s="35" t="s">
        <v>34</v>
      </c>
      <c r="G28" s="35" t="s">
        <v>34</v>
      </c>
      <c r="H28" s="23"/>
      <c r="I28" s="23"/>
      <c r="J28" s="23"/>
      <c r="K28" s="23"/>
      <c r="L28" s="23"/>
      <c r="M28" s="23"/>
      <c r="N28" s="23"/>
      <c r="O28" s="23"/>
    </row>
    <row r="29" spans="1:15" ht="10.5" x14ac:dyDescent="0.25">
      <c r="A29" s="24"/>
      <c r="B29" s="24"/>
      <c r="C29" s="24"/>
      <c r="D29" s="24"/>
      <c r="E29" s="24"/>
      <c r="F29" s="24"/>
      <c r="G29" s="24"/>
      <c r="H29" s="23"/>
      <c r="I29" s="23"/>
      <c r="J29" s="23"/>
      <c r="K29" s="23"/>
      <c r="L29" s="23"/>
      <c r="M29" s="23"/>
      <c r="N29" s="23"/>
      <c r="O29" s="23"/>
    </row>
    <row r="30" spans="1:15" ht="10.5" x14ac:dyDescent="0.25">
      <c r="A30" s="34" t="s">
        <v>42</v>
      </c>
      <c r="B30" s="36">
        <v>2366</v>
      </c>
      <c r="C30" s="36">
        <v>2527</v>
      </c>
      <c r="D30" s="36">
        <v>2898</v>
      </c>
      <c r="E30" s="36">
        <v>3598</v>
      </c>
      <c r="F30" s="36">
        <v>3563</v>
      </c>
      <c r="G30" s="36">
        <v>3587</v>
      </c>
      <c r="H30" s="23"/>
      <c r="I30" s="23"/>
      <c r="J30" s="23"/>
      <c r="K30" s="23"/>
      <c r="L30" s="23"/>
      <c r="M30" s="23"/>
      <c r="N30" s="23"/>
      <c r="O30" s="23"/>
    </row>
    <row r="31" spans="1:15" ht="10.5" x14ac:dyDescent="0.25">
      <c r="A31" s="24"/>
      <c r="B31" s="24"/>
      <c r="C31" s="24"/>
      <c r="D31" s="24"/>
      <c r="E31" s="24"/>
      <c r="F31" s="24"/>
      <c r="G31" s="24"/>
      <c r="H31" s="23"/>
      <c r="I31" s="23"/>
      <c r="J31" s="23"/>
      <c r="K31" s="23"/>
      <c r="L31" s="23"/>
      <c r="M31" s="23"/>
      <c r="N31" s="23"/>
      <c r="O31" s="23"/>
    </row>
    <row r="32" spans="1:15" ht="10.5" x14ac:dyDescent="0.25">
      <c r="A32" s="34" t="s">
        <v>43</v>
      </c>
      <c r="B32" s="36">
        <v>2613</v>
      </c>
      <c r="C32" s="36">
        <v>2675</v>
      </c>
      <c r="D32" s="36">
        <v>3138</v>
      </c>
      <c r="E32" s="36">
        <v>3548</v>
      </c>
      <c r="F32" s="36">
        <v>3729</v>
      </c>
      <c r="G32" s="36">
        <v>3776</v>
      </c>
      <c r="H32" s="23"/>
      <c r="I32" s="23"/>
      <c r="J32" s="23"/>
      <c r="K32" s="23"/>
      <c r="L32" s="23"/>
      <c r="M32" s="23"/>
      <c r="N32" s="23"/>
      <c r="O32" s="23"/>
    </row>
    <row r="33" spans="1:15" ht="10.5" x14ac:dyDescent="0.25">
      <c r="A33" s="24"/>
      <c r="B33" s="24"/>
      <c r="C33" s="24"/>
      <c r="D33" s="24"/>
      <c r="E33" s="24"/>
      <c r="F33" s="24"/>
      <c r="G33" s="24"/>
      <c r="H33" s="23"/>
      <c r="I33" s="23"/>
      <c r="J33" s="23"/>
      <c r="K33" s="23"/>
      <c r="L33" s="23"/>
      <c r="M33" s="23"/>
      <c r="N33" s="23"/>
      <c r="O33" s="23"/>
    </row>
    <row r="34" spans="1:15" ht="10.5" x14ac:dyDescent="0.25">
      <c r="A34" s="24" t="s">
        <v>44</v>
      </c>
      <c r="B34" s="35">
        <v>-244</v>
      </c>
      <c r="C34" s="35">
        <v>-285</v>
      </c>
      <c r="D34" s="35">
        <v>-357</v>
      </c>
      <c r="E34" s="35">
        <v>-423</v>
      </c>
      <c r="F34" s="35">
        <v>-616</v>
      </c>
      <c r="G34" s="35">
        <v>-703</v>
      </c>
      <c r="H34" s="23"/>
      <c r="I34" s="23"/>
      <c r="J34" s="23"/>
      <c r="K34" s="23"/>
      <c r="L34" s="23"/>
      <c r="M34" s="23"/>
      <c r="N34" s="23"/>
      <c r="O34" s="23"/>
    </row>
    <row r="35" spans="1:15" ht="10.5" x14ac:dyDescent="0.25">
      <c r="A35" s="24" t="s">
        <v>45</v>
      </c>
      <c r="B35" s="35">
        <v>37</v>
      </c>
      <c r="C35" s="35">
        <v>54</v>
      </c>
      <c r="D35" s="35">
        <v>10</v>
      </c>
      <c r="E35" s="35">
        <v>61</v>
      </c>
      <c r="F35" s="35">
        <v>108</v>
      </c>
      <c r="G35" s="35">
        <v>292</v>
      </c>
      <c r="H35" s="23"/>
      <c r="I35" s="23"/>
      <c r="J35" s="23"/>
      <c r="K35" s="23"/>
      <c r="L35" s="23"/>
      <c r="M35" s="23"/>
      <c r="N35" s="23"/>
      <c r="O35" s="23"/>
    </row>
    <row r="36" spans="1:15" ht="10.5" x14ac:dyDescent="0.25">
      <c r="A36" s="34" t="s">
        <v>46</v>
      </c>
      <c r="B36" s="36">
        <v>-207</v>
      </c>
      <c r="C36" s="36">
        <v>-231</v>
      </c>
      <c r="D36" s="36">
        <v>-347</v>
      </c>
      <c r="E36" s="36">
        <v>-362</v>
      </c>
      <c r="F36" s="36">
        <v>-508</v>
      </c>
      <c r="G36" s="36">
        <v>-411</v>
      </c>
      <c r="H36" s="23"/>
      <c r="I36" s="23"/>
      <c r="J36" s="23"/>
      <c r="K36" s="23"/>
      <c r="L36" s="23"/>
      <c r="M36" s="23"/>
      <c r="N36" s="23"/>
      <c r="O36" s="23"/>
    </row>
    <row r="37" spans="1:15" ht="10.5" x14ac:dyDescent="0.25">
      <c r="A37" s="24"/>
      <c r="B37" s="24"/>
      <c r="C37" s="24"/>
      <c r="D37" s="24"/>
      <c r="E37" s="24"/>
      <c r="F37" s="24"/>
      <c r="G37" s="24"/>
      <c r="H37" s="23"/>
      <c r="I37" s="23"/>
      <c r="J37" s="23"/>
      <c r="K37" s="23"/>
      <c r="L37" s="23"/>
      <c r="M37" s="23"/>
      <c r="N37" s="23"/>
      <c r="O37" s="23"/>
    </row>
    <row r="38" spans="1:15" ht="10.5" x14ac:dyDescent="0.25">
      <c r="A38" s="24" t="s">
        <v>47</v>
      </c>
      <c r="B38" s="35">
        <v>46</v>
      </c>
      <c r="C38" s="35" t="s">
        <v>34</v>
      </c>
      <c r="D38" s="35">
        <v>71</v>
      </c>
      <c r="E38" s="35">
        <v>51</v>
      </c>
      <c r="F38" s="35">
        <v>15</v>
      </c>
      <c r="G38" s="35">
        <v>23</v>
      </c>
      <c r="H38" s="23"/>
      <c r="I38" s="23"/>
      <c r="J38" s="23"/>
      <c r="K38" s="23"/>
      <c r="L38" s="23"/>
      <c r="M38" s="23"/>
      <c r="N38" s="23"/>
      <c r="O38" s="23"/>
    </row>
    <row r="39" spans="1:15" ht="10.5" x14ac:dyDescent="0.25">
      <c r="A39" s="24" t="s">
        <v>48</v>
      </c>
      <c r="B39" s="35">
        <v>-2</v>
      </c>
      <c r="C39" s="35" t="s">
        <v>34</v>
      </c>
      <c r="D39" s="35" t="s">
        <v>34</v>
      </c>
      <c r="E39" s="35">
        <v>-13</v>
      </c>
      <c r="F39" s="35">
        <v>-9</v>
      </c>
      <c r="G39" s="35">
        <v>-5</v>
      </c>
      <c r="H39" s="23"/>
      <c r="I39" s="23"/>
      <c r="J39" s="23"/>
      <c r="K39" s="23"/>
      <c r="L39" s="23"/>
      <c r="M39" s="23"/>
      <c r="N39" s="23"/>
      <c r="O39" s="23"/>
    </row>
    <row r="40" spans="1:15" ht="10.5" x14ac:dyDescent="0.25">
      <c r="A40" s="24" t="s">
        <v>49</v>
      </c>
      <c r="B40" s="35">
        <v>-1</v>
      </c>
      <c r="C40" s="35">
        <v>39</v>
      </c>
      <c r="D40" s="35">
        <v>-26</v>
      </c>
      <c r="E40" s="35">
        <v>2558</v>
      </c>
      <c r="F40" s="35">
        <v>-1358</v>
      </c>
      <c r="G40" s="35">
        <v>-1373</v>
      </c>
      <c r="H40" s="23"/>
      <c r="I40" s="23"/>
      <c r="J40" s="23"/>
      <c r="K40" s="23"/>
      <c r="L40" s="23"/>
      <c r="M40" s="23"/>
      <c r="N40" s="23"/>
      <c r="O40" s="23"/>
    </row>
    <row r="41" spans="1:15" ht="10.5" x14ac:dyDescent="0.25">
      <c r="A41" s="34" t="s">
        <v>50</v>
      </c>
      <c r="B41" s="36">
        <v>2449</v>
      </c>
      <c r="C41" s="36">
        <v>2483</v>
      </c>
      <c r="D41" s="36">
        <v>2836</v>
      </c>
      <c r="E41" s="36">
        <v>5782</v>
      </c>
      <c r="F41" s="36">
        <v>1869</v>
      </c>
      <c r="G41" s="36">
        <v>2010</v>
      </c>
      <c r="H41" s="23"/>
      <c r="I41" s="23"/>
      <c r="J41" s="23"/>
      <c r="K41" s="23"/>
      <c r="L41" s="23"/>
      <c r="M41" s="23"/>
      <c r="N41" s="23"/>
      <c r="O41" s="23"/>
    </row>
    <row r="42" spans="1:15" ht="10.5" x14ac:dyDescent="0.25">
      <c r="A42" s="24"/>
      <c r="B42" s="24"/>
      <c r="C42" s="24"/>
      <c r="D42" s="24"/>
      <c r="E42" s="24"/>
      <c r="F42" s="24"/>
      <c r="G42" s="24"/>
      <c r="H42" s="23"/>
      <c r="I42" s="23"/>
      <c r="J42" s="23"/>
      <c r="K42" s="23"/>
      <c r="L42" s="23"/>
      <c r="M42" s="23"/>
      <c r="N42" s="23"/>
      <c r="O42" s="23"/>
    </row>
    <row r="43" spans="1:15" ht="10.5" x14ac:dyDescent="0.25">
      <c r="A43" s="24" t="s">
        <v>51</v>
      </c>
      <c r="B43" s="35">
        <v>-4</v>
      </c>
      <c r="C43" s="35" t="s">
        <v>34</v>
      </c>
      <c r="D43" s="35" t="s">
        <v>34</v>
      </c>
      <c r="E43" s="35" t="s">
        <v>34</v>
      </c>
      <c r="F43" s="35" t="s">
        <v>34</v>
      </c>
      <c r="G43" s="35" t="s">
        <v>34</v>
      </c>
      <c r="H43" s="23"/>
      <c r="I43" s="23"/>
      <c r="J43" s="23"/>
      <c r="K43" s="23"/>
      <c r="L43" s="23"/>
      <c r="M43" s="23"/>
      <c r="N43" s="23"/>
      <c r="O43" s="23"/>
    </row>
    <row r="44" spans="1:15" ht="10.5" x14ac:dyDescent="0.25">
      <c r="A44" s="24" t="s">
        <v>52</v>
      </c>
      <c r="B44" s="35">
        <v>-34</v>
      </c>
      <c r="C44" s="35">
        <v>-2</v>
      </c>
      <c r="D44" s="35">
        <v>-105</v>
      </c>
      <c r="E44" s="35">
        <v>-102</v>
      </c>
      <c r="F44" s="35">
        <v>-93</v>
      </c>
      <c r="G44" s="35">
        <v>-77</v>
      </c>
      <c r="H44" s="23"/>
      <c r="I44" s="23"/>
      <c r="J44" s="23"/>
      <c r="K44" s="23"/>
      <c r="L44" s="23"/>
      <c r="M44" s="23"/>
      <c r="N44" s="23"/>
      <c r="O44" s="23"/>
    </row>
    <row r="45" spans="1:15" ht="10.5" x14ac:dyDescent="0.25">
      <c r="A45" s="24" t="s">
        <v>53</v>
      </c>
      <c r="B45" s="35" t="s">
        <v>34</v>
      </c>
      <c r="C45" s="35" t="s">
        <v>34</v>
      </c>
      <c r="D45" s="35" t="s">
        <v>34</v>
      </c>
      <c r="E45" s="35" t="s">
        <v>34</v>
      </c>
      <c r="F45" s="35" t="s">
        <v>34</v>
      </c>
      <c r="G45" s="35" t="s">
        <v>34</v>
      </c>
      <c r="H45" s="23"/>
      <c r="I45" s="23"/>
      <c r="J45" s="23"/>
      <c r="K45" s="23"/>
      <c r="L45" s="23"/>
      <c r="M45" s="23"/>
      <c r="N45" s="23"/>
      <c r="O45" s="23"/>
    </row>
    <row r="46" spans="1:15" ht="10.5" x14ac:dyDescent="0.25">
      <c r="A46" s="24" t="s">
        <v>54</v>
      </c>
      <c r="B46" s="35">
        <v>110</v>
      </c>
      <c r="C46" s="35" t="s">
        <v>34</v>
      </c>
      <c r="D46" s="35">
        <v>35</v>
      </c>
      <c r="E46" s="35">
        <v>34</v>
      </c>
      <c r="F46" s="35">
        <v>41</v>
      </c>
      <c r="G46" s="35">
        <v>0</v>
      </c>
      <c r="H46" s="23"/>
      <c r="I46" s="23"/>
      <c r="J46" s="23"/>
      <c r="K46" s="23"/>
      <c r="L46" s="23"/>
      <c r="M46" s="23"/>
      <c r="N46" s="23"/>
      <c r="O46" s="23"/>
    </row>
    <row r="47" spans="1:15" ht="10.5" x14ac:dyDescent="0.25">
      <c r="A47" s="24" t="s">
        <v>55</v>
      </c>
      <c r="B47" s="35">
        <v>-1</v>
      </c>
      <c r="C47" s="35" t="s">
        <v>34</v>
      </c>
      <c r="D47" s="35" t="s">
        <v>34</v>
      </c>
      <c r="E47" s="35" t="s">
        <v>34</v>
      </c>
      <c r="F47" s="35" t="s">
        <v>34</v>
      </c>
      <c r="G47" s="35" t="s">
        <v>34</v>
      </c>
      <c r="H47" s="23"/>
      <c r="I47" s="23"/>
      <c r="J47" s="23"/>
      <c r="K47" s="23"/>
      <c r="L47" s="23"/>
      <c r="M47" s="23"/>
      <c r="N47" s="23"/>
      <c r="O47" s="23"/>
    </row>
    <row r="48" spans="1:15" ht="10.5" x14ac:dyDescent="0.25">
      <c r="A48" s="24" t="s">
        <v>56</v>
      </c>
      <c r="B48" s="35" t="s">
        <v>34</v>
      </c>
      <c r="C48" s="35" t="s">
        <v>34</v>
      </c>
      <c r="D48" s="35" t="s">
        <v>34</v>
      </c>
      <c r="E48" s="35">
        <v>-16</v>
      </c>
      <c r="F48" s="35">
        <v>-9</v>
      </c>
      <c r="G48" s="35">
        <v>0</v>
      </c>
      <c r="H48" s="23"/>
      <c r="I48" s="23"/>
      <c r="J48" s="23"/>
      <c r="K48" s="23"/>
      <c r="L48" s="23"/>
      <c r="M48" s="23"/>
      <c r="N48" s="23"/>
      <c r="O48" s="23"/>
    </row>
    <row r="49" spans="1:15" ht="10.5" x14ac:dyDescent="0.25">
      <c r="A49" s="24" t="s">
        <v>57</v>
      </c>
      <c r="B49" s="35" t="s">
        <v>34</v>
      </c>
      <c r="C49" s="35" t="s">
        <v>34</v>
      </c>
      <c r="D49" s="35" t="s">
        <v>34</v>
      </c>
      <c r="E49" s="35" t="s">
        <v>34</v>
      </c>
      <c r="F49" s="35" t="s">
        <v>34</v>
      </c>
      <c r="G49" s="35" t="s">
        <v>34</v>
      </c>
      <c r="H49" s="23"/>
      <c r="I49" s="23"/>
      <c r="J49" s="23"/>
      <c r="K49" s="23"/>
      <c r="L49" s="23"/>
      <c r="M49" s="23"/>
      <c r="N49" s="23"/>
      <c r="O49" s="23"/>
    </row>
    <row r="50" spans="1:15" ht="10.5" x14ac:dyDescent="0.25">
      <c r="A50" s="34" t="s">
        <v>58</v>
      </c>
      <c r="B50" s="36">
        <v>2520</v>
      </c>
      <c r="C50" s="36">
        <v>2481</v>
      </c>
      <c r="D50" s="36">
        <v>2766</v>
      </c>
      <c r="E50" s="36">
        <v>5698</v>
      </c>
      <c r="F50" s="36">
        <v>1808</v>
      </c>
      <c r="G50" s="36">
        <v>1933</v>
      </c>
      <c r="H50" s="23"/>
      <c r="I50" s="23"/>
      <c r="J50" s="23"/>
      <c r="K50" s="23"/>
      <c r="L50" s="23"/>
      <c r="M50" s="23"/>
      <c r="N50" s="23"/>
      <c r="O50" s="23"/>
    </row>
    <row r="51" spans="1:15" ht="10.5" x14ac:dyDescent="0.25">
      <c r="A51" s="24"/>
      <c r="B51" s="24"/>
      <c r="C51" s="24"/>
      <c r="D51" s="24"/>
      <c r="E51" s="24"/>
      <c r="F51" s="24"/>
      <c r="G51" s="24"/>
      <c r="H51" s="23"/>
      <c r="I51" s="23"/>
      <c r="J51" s="23"/>
      <c r="K51" s="23"/>
      <c r="L51" s="23"/>
      <c r="M51" s="23"/>
      <c r="N51" s="23"/>
      <c r="O51" s="23"/>
    </row>
    <row r="52" spans="1:15" ht="10.5" x14ac:dyDescent="0.25">
      <c r="A52" s="24" t="s">
        <v>59</v>
      </c>
      <c r="B52" s="35">
        <v>500</v>
      </c>
      <c r="C52" s="35">
        <v>521</v>
      </c>
      <c r="D52" s="35">
        <v>658</v>
      </c>
      <c r="E52" s="35">
        <v>1629</v>
      </c>
      <c r="F52" s="35">
        <v>310</v>
      </c>
      <c r="G52" s="35">
        <v>179</v>
      </c>
      <c r="H52" s="23"/>
      <c r="I52" s="23"/>
      <c r="J52" s="23"/>
      <c r="K52" s="23"/>
      <c r="L52" s="23"/>
      <c r="M52" s="23"/>
      <c r="N52" s="23"/>
      <c r="O52" s="23"/>
    </row>
    <row r="53" spans="1:15" ht="10.5" x14ac:dyDescent="0.25">
      <c r="A53" s="34" t="s">
        <v>60</v>
      </c>
      <c r="B53" s="36">
        <v>2020</v>
      </c>
      <c r="C53" s="36">
        <v>1960</v>
      </c>
      <c r="D53" s="36">
        <v>2108</v>
      </c>
      <c r="E53" s="36">
        <v>4069</v>
      </c>
      <c r="F53" s="36">
        <v>1498</v>
      </c>
      <c r="G53" s="36">
        <v>1754</v>
      </c>
      <c r="H53" s="23"/>
      <c r="I53" s="23"/>
      <c r="J53" s="23"/>
      <c r="K53" s="23"/>
      <c r="L53" s="23"/>
      <c r="M53" s="23"/>
      <c r="N53" s="23"/>
      <c r="O53" s="23"/>
    </row>
    <row r="54" spans="1:15" ht="10.5" x14ac:dyDescent="0.25">
      <c r="A54" s="24"/>
      <c r="B54" s="24"/>
      <c r="C54" s="24"/>
      <c r="D54" s="24"/>
      <c r="E54" s="24"/>
      <c r="F54" s="24"/>
      <c r="G54" s="24"/>
      <c r="H54" s="23"/>
      <c r="I54" s="23"/>
      <c r="J54" s="23"/>
      <c r="K54" s="23"/>
      <c r="L54" s="23"/>
      <c r="M54" s="23"/>
      <c r="N54" s="23"/>
      <c r="O54" s="23"/>
    </row>
    <row r="55" spans="1:15" ht="10.5" x14ac:dyDescent="0.25">
      <c r="A55" s="24" t="s">
        <v>61</v>
      </c>
      <c r="B55" s="35" t="s">
        <v>34</v>
      </c>
      <c r="C55" s="35" t="s">
        <v>34</v>
      </c>
      <c r="D55" s="35" t="s">
        <v>34</v>
      </c>
      <c r="E55" s="35" t="s">
        <v>34</v>
      </c>
      <c r="F55" s="35" t="s">
        <v>34</v>
      </c>
      <c r="G55" s="35" t="s">
        <v>34</v>
      </c>
      <c r="H55" s="23"/>
      <c r="I55" s="23"/>
      <c r="J55" s="23"/>
      <c r="K55" s="23"/>
      <c r="L55" s="23"/>
      <c r="M55" s="23"/>
      <c r="N55" s="23"/>
      <c r="O55" s="23"/>
    </row>
    <row r="56" spans="1:15" ht="10.5" x14ac:dyDescent="0.25">
      <c r="A56" s="24" t="s">
        <v>62</v>
      </c>
      <c r="B56" s="35" t="s">
        <v>34</v>
      </c>
      <c r="C56" s="35" t="s">
        <v>34</v>
      </c>
      <c r="D56" s="35" t="s">
        <v>34</v>
      </c>
      <c r="E56" s="35" t="s">
        <v>34</v>
      </c>
      <c r="F56" s="35" t="s">
        <v>34</v>
      </c>
      <c r="G56" s="35" t="s">
        <v>34</v>
      </c>
      <c r="H56" s="23"/>
      <c r="I56" s="23"/>
      <c r="J56" s="23"/>
      <c r="K56" s="23"/>
      <c r="L56" s="23"/>
      <c r="M56" s="23"/>
      <c r="N56" s="23"/>
      <c r="O56" s="23"/>
    </row>
    <row r="57" spans="1:15" ht="10.5" x14ac:dyDescent="0.25">
      <c r="A57" s="34" t="s">
        <v>63</v>
      </c>
      <c r="B57" s="36">
        <v>2020</v>
      </c>
      <c r="C57" s="36">
        <v>1960</v>
      </c>
      <c r="D57" s="36">
        <v>2108</v>
      </c>
      <c r="E57" s="36">
        <v>4069</v>
      </c>
      <c r="F57" s="36">
        <v>1498</v>
      </c>
      <c r="G57" s="36">
        <v>1754</v>
      </c>
      <c r="H57" s="23"/>
      <c r="I57" s="23"/>
      <c r="J57" s="23"/>
      <c r="K57" s="23"/>
      <c r="L57" s="23"/>
      <c r="M57" s="23"/>
      <c r="N57" s="23"/>
      <c r="O57" s="23"/>
    </row>
    <row r="58" spans="1:15" ht="10.5" x14ac:dyDescent="0.25">
      <c r="A58" s="24"/>
      <c r="B58" s="24"/>
      <c r="C58" s="24"/>
      <c r="D58" s="24"/>
      <c r="E58" s="24"/>
      <c r="F58" s="24"/>
      <c r="G58" s="24"/>
      <c r="H58" s="23"/>
      <c r="I58" s="23"/>
      <c r="J58" s="23"/>
      <c r="K58" s="23"/>
      <c r="L58" s="23"/>
      <c r="M58" s="23"/>
      <c r="N58" s="23"/>
      <c r="O58" s="23"/>
    </row>
    <row r="59" spans="1:15" ht="10.5" x14ac:dyDescent="0.25">
      <c r="A59" s="24" t="s">
        <v>64</v>
      </c>
      <c r="B59" s="35">
        <v>-32</v>
      </c>
      <c r="C59" s="35">
        <v>-27</v>
      </c>
      <c r="D59" s="35">
        <v>-19</v>
      </c>
      <c r="E59" s="35">
        <v>-11</v>
      </c>
      <c r="F59" s="35">
        <v>-52</v>
      </c>
      <c r="G59" s="35">
        <v>-66</v>
      </c>
      <c r="H59" s="23"/>
      <c r="I59" s="23"/>
      <c r="J59" s="23"/>
      <c r="K59" s="23"/>
      <c r="L59" s="23"/>
      <c r="M59" s="23"/>
      <c r="N59" s="23"/>
      <c r="O59" s="23"/>
    </row>
    <row r="60" spans="1:15" ht="10.5" x14ac:dyDescent="0.25">
      <c r="A60" s="34" t="s">
        <v>65</v>
      </c>
      <c r="B60" s="36">
        <v>1988</v>
      </c>
      <c r="C60" s="36">
        <v>1933</v>
      </c>
      <c r="D60" s="36">
        <v>2089</v>
      </c>
      <c r="E60" s="36">
        <v>4058</v>
      </c>
      <c r="F60" s="36">
        <v>1446</v>
      </c>
      <c r="G60" s="36">
        <v>1688</v>
      </c>
      <c r="H60" s="23"/>
      <c r="I60" s="23"/>
      <c r="J60" s="23"/>
      <c r="K60" s="23"/>
      <c r="L60" s="23"/>
      <c r="M60" s="23"/>
      <c r="N60" s="23"/>
      <c r="O60" s="23"/>
    </row>
    <row r="61" spans="1:15" ht="10.5" x14ac:dyDescent="0.25">
      <c r="A61" s="24"/>
      <c r="B61" s="24"/>
      <c r="C61" s="24"/>
      <c r="D61" s="24"/>
      <c r="E61" s="24"/>
      <c r="F61" s="24"/>
      <c r="G61" s="24"/>
      <c r="H61" s="23"/>
      <c r="I61" s="23"/>
      <c r="J61" s="23"/>
      <c r="K61" s="23"/>
      <c r="L61" s="23"/>
      <c r="M61" s="23"/>
      <c r="N61" s="23"/>
      <c r="O61" s="23"/>
    </row>
    <row r="62" spans="1:15" ht="10.5" x14ac:dyDescent="0.25">
      <c r="A62" s="24" t="s">
        <v>66</v>
      </c>
      <c r="B62" s="35" t="s">
        <v>34</v>
      </c>
      <c r="C62" s="35" t="s">
        <v>34</v>
      </c>
      <c r="D62" s="35" t="s">
        <v>34</v>
      </c>
      <c r="E62" s="35" t="s">
        <v>34</v>
      </c>
      <c r="F62" s="35" t="s">
        <v>34</v>
      </c>
      <c r="G62" s="35" t="s">
        <v>34</v>
      </c>
      <c r="H62" s="23"/>
      <c r="I62" s="23"/>
      <c r="J62" s="23"/>
      <c r="K62" s="23"/>
      <c r="L62" s="23"/>
      <c r="M62" s="23"/>
      <c r="N62" s="23"/>
      <c r="O62" s="23"/>
    </row>
    <row r="63" spans="1:15" ht="10.5" x14ac:dyDescent="0.25">
      <c r="A63" s="24"/>
      <c r="B63" s="24"/>
      <c r="C63" s="24"/>
      <c r="D63" s="24"/>
      <c r="E63" s="24"/>
      <c r="F63" s="24"/>
      <c r="G63" s="24"/>
      <c r="H63" s="23"/>
      <c r="I63" s="23"/>
      <c r="J63" s="23"/>
      <c r="K63" s="23"/>
      <c r="L63" s="23"/>
      <c r="M63" s="23"/>
      <c r="N63" s="23"/>
      <c r="O63" s="23"/>
    </row>
    <row r="64" spans="1:15" ht="10.5" x14ac:dyDescent="0.25">
      <c r="A64" s="34" t="s">
        <v>67</v>
      </c>
      <c r="B64" s="36">
        <v>1988</v>
      </c>
      <c r="C64" s="36">
        <v>1933</v>
      </c>
      <c r="D64" s="36">
        <v>2089</v>
      </c>
      <c r="E64" s="36">
        <v>4058</v>
      </c>
      <c r="F64" s="36">
        <v>1446</v>
      </c>
      <c r="G64" s="36">
        <v>1688</v>
      </c>
      <c r="H64" s="23"/>
      <c r="I64" s="23"/>
      <c r="J64" s="23"/>
      <c r="K64" s="23"/>
      <c r="L64" s="23"/>
      <c r="M64" s="23"/>
      <c r="N64" s="23"/>
      <c r="O64" s="23"/>
    </row>
    <row r="65" spans="1:15" ht="10.5" x14ac:dyDescent="0.25">
      <c r="A65" s="34" t="s">
        <v>68</v>
      </c>
      <c r="B65" s="36">
        <v>1988</v>
      </c>
      <c r="C65" s="36">
        <v>1933</v>
      </c>
      <c r="D65" s="36">
        <v>2089</v>
      </c>
      <c r="E65" s="36">
        <v>4058</v>
      </c>
      <c r="F65" s="36">
        <v>1446</v>
      </c>
      <c r="G65" s="36">
        <v>1688</v>
      </c>
      <c r="H65" s="23"/>
      <c r="I65" s="23"/>
      <c r="J65" s="23"/>
      <c r="K65" s="23"/>
      <c r="L65" s="23"/>
      <c r="M65" s="23"/>
      <c r="N65" s="23"/>
      <c r="O65" s="23"/>
    </row>
    <row r="66" spans="1:15" ht="10.5" x14ac:dyDescent="0.25">
      <c r="A66" s="24"/>
      <c r="B66" s="24"/>
      <c r="C66" s="24"/>
      <c r="D66" s="24"/>
      <c r="E66" s="24"/>
      <c r="F66" s="24"/>
      <c r="G66" s="24"/>
      <c r="H66" s="23"/>
      <c r="I66" s="23"/>
      <c r="J66" s="23"/>
      <c r="K66" s="23"/>
      <c r="L66" s="23"/>
      <c r="M66" s="23"/>
      <c r="N66" s="23"/>
      <c r="O66" s="23"/>
    </row>
    <row r="67" spans="1:15" ht="10.5" x14ac:dyDescent="0.25">
      <c r="A67" s="34" t="s">
        <v>69</v>
      </c>
      <c r="B67" s="24"/>
      <c r="C67" s="24"/>
      <c r="D67" s="24"/>
      <c r="E67" s="24"/>
      <c r="F67" s="24"/>
      <c r="G67" s="24"/>
      <c r="H67" s="23"/>
      <c r="I67" s="23"/>
      <c r="J67" s="23"/>
      <c r="K67" s="23"/>
      <c r="L67" s="23"/>
      <c r="M67" s="23"/>
      <c r="N67" s="23"/>
      <c r="O67" s="23"/>
    </row>
    <row r="68" spans="1:15" ht="10.5" x14ac:dyDescent="0.25">
      <c r="A68" s="24" t="s">
        <v>70</v>
      </c>
      <c r="B68" s="37">
        <v>3.46</v>
      </c>
      <c r="C68" s="37">
        <v>3.45</v>
      </c>
      <c r="D68" s="37">
        <v>3.78</v>
      </c>
      <c r="E68" s="37">
        <v>7.22</v>
      </c>
      <c r="F68" s="37">
        <v>2.59</v>
      </c>
      <c r="G68" s="37">
        <v>3.02</v>
      </c>
      <c r="H68" s="23"/>
      <c r="I68" s="23"/>
      <c r="J68" s="23"/>
      <c r="K68" s="23"/>
      <c r="L68" s="23"/>
      <c r="M68" s="23"/>
      <c r="N68" s="23"/>
      <c r="O68" s="23"/>
    </row>
    <row r="69" spans="1:15" ht="10.5" x14ac:dyDescent="0.25">
      <c r="A69" s="24" t="s">
        <v>71</v>
      </c>
      <c r="B69" s="38">
        <v>3.4573909999999999</v>
      </c>
      <c r="C69" s="38">
        <v>3.4456319999999998</v>
      </c>
      <c r="D69" s="38">
        <v>3.7844199999999999</v>
      </c>
      <c r="E69" s="38">
        <v>7.2206400000000004</v>
      </c>
      <c r="F69" s="38">
        <v>2.5867619999999998</v>
      </c>
      <c r="G69" s="38">
        <v>3.0196770000000002</v>
      </c>
      <c r="H69" s="23"/>
      <c r="I69" s="23"/>
      <c r="J69" s="23"/>
      <c r="K69" s="23"/>
      <c r="L69" s="23"/>
      <c r="M69" s="23"/>
      <c r="N69" s="23"/>
      <c r="O69" s="23"/>
    </row>
    <row r="70" spans="1:15" ht="10.5" x14ac:dyDescent="0.25">
      <c r="A70" s="24" t="s">
        <v>72</v>
      </c>
      <c r="B70" s="35">
        <v>575</v>
      </c>
      <c r="C70" s="35">
        <v>561</v>
      </c>
      <c r="D70" s="35">
        <v>552</v>
      </c>
      <c r="E70" s="35">
        <v>562</v>
      </c>
      <c r="F70" s="35">
        <v>559</v>
      </c>
      <c r="G70" s="35">
        <v>559</v>
      </c>
      <c r="H70" s="23"/>
      <c r="I70" s="23"/>
      <c r="J70" s="23"/>
      <c r="K70" s="23"/>
      <c r="L70" s="23"/>
      <c r="M70" s="23"/>
      <c r="N70" s="23"/>
      <c r="O70" s="23"/>
    </row>
    <row r="71" spans="1:15" ht="10.5" x14ac:dyDescent="0.25">
      <c r="A71" s="24"/>
      <c r="B71" s="24"/>
      <c r="C71" s="24"/>
      <c r="D71" s="24"/>
      <c r="E71" s="24"/>
      <c r="F71" s="24"/>
      <c r="G71" s="24"/>
      <c r="H71" s="23"/>
      <c r="I71" s="23"/>
      <c r="J71" s="23"/>
      <c r="K71" s="23"/>
      <c r="L71" s="23"/>
      <c r="M71" s="23"/>
      <c r="N71" s="23"/>
      <c r="O71" s="23"/>
    </row>
    <row r="72" spans="1:15" ht="10.5" x14ac:dyDescent="0.25">
      <c r="A72" s="24" t="s">
        <v>73</v>
      </c>
      <c r="B72" s="37">
        <v>3.43</v>
      </c>
      <c r="C72" s="37">
        <v>3.42</v>
      </c>
      <c r="D72" s="37">
        <v>3.77</v>
      </c>
      <c r="E72" s="37">
        <v>7.18</v>
      </c>
      <c r="F72" s="37">
        <v>2.58</v>
      </c>
      <c r="G72" s="37">
        <v>3.01</v>
      </c>
      <c r="H72" s="23"/>
      <c r="I72" s="23"/>
      <c r="J72" s="23"/>
      <c r="K72" s="23"/>
      <c r="L72" s="23"/>
      <c r="M72" s="23"/>
      <c r="N72" s="23"/>
      <c r="O72" s="23"/>
    </row>
    <row r="73" spans="1:15" ht="10.5" x14ac:dyDescent="0.25">
      <c r="A73" s="24" t="s">
        <v>74</v>
      </c>
      <c r="B73" s="38">
        <v>3.43</v>
      </c>
      <c r="C73" s="38">
        <v>3.42</v>
      </c>
      <c r="D73" s="38">
        <v>3.77</v>
      </c>
      <c r="E73" s="38">
        <v>7.18</v>
      </c>
      <c r="F73" s="38">
        <v>2.58</v>
      </c>
      <c r="G73" s="38">
        <v>3.0088309999999998</v>
      </c>
      <c r="H73" s="23"/>
      <c r="I73" s="23"/>
      <c r="J73" s="23"/>
      <c r="K73" s="23"/>
      <c r="L73" s="23"/>
      <c r="M73" s="23"/>
      <c r="N73" s="23"/>
      <c r="O73" s="23"/>
    </row>
    <row r="74" spans="1:15" ht="10.5" x14ac:dyDescent="0.25">
      <c r="A74" s="24" t="s">
        <v>75</v>
      </c>
      <c r="B74" s="35">
        <v>579</v>
      </c>
      <c r="C74" s="35">
        <v>565</v>
      </c>
      <c r="D74" s="35">
        <v>555</v>
      </c>
      <c r="E74" s="35">
        <v>565</v>
      </c>
      <c r="F74" s="35">
        <v>561</v>
      </c>
      <c r="G74" s="35">
        <v>560.5</v>
      </c>
      <c r="H74" s="23"/>
      <c r="I74" s="23"/>
      <c r="J74" s="23"/>
      <c r="K74" s="23"/>
      <c r="L74" s="23"/>
      <c r="M74" s="23"/>
      <c r="N74" s="23"/>
      <c r="O74" s="23"/>
    </row>
    <row r="75" spans="1:15" ht="10.5" x14ac:dyDescent="0.25">
      <c r="A75" s="24"/>
      <c r="B75" s="24"/>
      <c r="C75" s="24"/>
      <c r="D75" s="24"/>
      <c r="E75" s="24"/>
      <c r="F75" s="24"/>
      <c r="G75" s="24"/>
      <c r="H75" s="23"/>
      <c r="I75" s="23"/>
      <c r="J75" s="23"/>
      <c r="K75" s="23"/>
      <c r="L75" s="23"/>
      <c r="M75" s="23"/>
      <c r="N75" s="23"/>
      <c r="O75" s="23"/>
    </row>
    <row r="76" spans="1:15" ht="10.5" x14ac:dyDescent="0.25">
      <c r="A76" s="24" t="s">
        <v>76</v>
      </c>
      <c r="B76" s="37">
        <v>2.61</v>
      </c>
      <c r="C76" s="37">
        <v>2.72</v>
      </c>
      <c r="D76" s="37">
        <v>3.18</v>
      </c>
      <c r="E76" s="37">
        <v>6.41</v>
      </c>
      <c r="F76" s="37">
        <v>2</v>
      </c>
      <c r="G76" s="37">
        <v>2.13</v>
      </c>
      <c r="H76" s="23"/>
      <c r="I76" s="23"/>
      <c r="J76" s="23"/>
      <c r="K76" s="23"/>
      <c r="L76" s="23"/>
      <c r="M76" s="23"/>
      <c r="N76" s="23"/>
      <c r="O76" s="23"/>
    </row>
    <row r="77" spans="1:15" ht="10.5" x14ac:dyDescent="0.25">
      <c r="A77" s="24" t="s">
        <v>77</v>
      </c>
      <c r="B77" s="38">
        <v>2.588298</v>
      </c>
      <c r="C77" s="38">
        <v>2.698893</v>
      </c>
      <c r="D77" s="38">
        <v>3.159459</v>
      </c>
      <c r="E77" s="38">
        <v>6.3765479999999997</v>
      </c>
      <c r="F77" s="38">
        <v>1.989527</v>
      </c>
      <c r="G77" s="38">
        <v>2.1235499999999998</v>
      </c>
      <c r="H77" s="23"/>
      <c r="I77" s="23"/>
      <c r="J77" s="23"/>
      <c r="K77" s="23"/>
      <c r="L77" s="23"/>
      <c r="M77" s="23"/>
      <c r="N77" s="23"/>
      <c r="O77" s="23"/>
    </row>
    <row r="78" spans="1:15" ht="10.5" x14ac:dyDescent="0.25">
      <c r="A78" s="24"/>
      <c r="B78" s="24"/>
      <c r="C78" s="24"/>
      <c r="D78" s="24"/>
      <c r="E78" s="24"/>
      <c r="F78" s="24"/>
      <c r="G78" s="24"/>
      <c r="H78" s="23"/>
      <c r="I78" s="23"/>
      <c r="J78" s="23"/>
      <c r="K78" s="23"/>
      <c r="L78" s="23"/>
      <c r="M78" s="23"/>
      <c r="N78" s="23"/>
      <c r="O78" s="23"/>
    </row>
    <row r="79" spans="1:15" ht="10.5" x14ac:dyDescent="0.25">
      <c r="A79" s="24" t="s">
        <v>78</v>
      </c>
      <c r="B79" s="37">
        <v>0.96</v>
      </c>
      <c r="C79" s="37">
        <v>1.1000000000000001</v>
      </c>
      <c r="D79" s="37">
        <v>1.2</v>
      </c>
      <c r="E79" s="37">
        <v>1.32</v>
      </c>
      <c r="F79" s="37">
        <v>1.52</v>
      </c>
      <c r="G79" s="37">
        <v>1.6</v>
      </c>
      <c r="H79" s="23"/>
      <c r="I79" s="23"/>
      <c r="J79" s="23"/>
      <c r="K79" s="23"/>
      <c r="L79" s="23"/>
      <c r="M79" s="23"/>
      <c r="N79" s="23"/>
      <c r="O79" s="23"/>
    </row>
    <row r="80" spans="1:15" ht="10.5" x14ac:dyDescent="0.25">
      <c r="A80" s="24" t="s">
        <v>79</v>
      </c>
      <c r="B80" s="39">
        <v>0.27917500000000001</v>
      </c>
      <c r="C80" s="39">
        <v>0.32126199999999999</v>
      </c>
      <c r="D80" s="39">
        <v>0.32024799999999998</v>
      </c>
      <c r="E80" s="39">
        <v>0.18407999999999999</v>
      </c>
      <c r="F80" s="39">
        <v>0.58990299999999996</v>
      </c>
      <c r="G80" s="39">
        <v>0.53198999999999996</v>
      </c>
      <c r="H80" s="23"/>
      <c r="I80" s="23"/>
      <c r="J80" s="23"/>
      <c r="K80" s="23"/>
      <c r="L80" s="23"/>
      <c r="M80" s="23"/>
      <c r="N80" s="23"/>
      <c r="O80" s="23"/>
    </row>
    <row r="81" spans="1:15" ht="10.5" x14ac:dyDescent="0.25">
      <c r="A81" s="24"/>
      <c r="B81" s="24"/>
      <c r="C81" s="24"/>
      <c r="D81" s="24"/>
      <c r="E81" s="24"/>
      <c r="F81" s="24"/>
      <c r="G81" s="24"/>
      <c r="H81" s="23"/>
      <c r="I81" s="23"/>
      <c r="J81" s="23"/>
      <c r="K81" s="23"/>
      <c r="L81" s="23"/>
      <c r="M81" s="23"/>
      <c r="N81" s="23"/>
      <c r="O81" s="23"/>
    </row>
    <row r="82" spans="1:15" ht="10.5" x14ac:dyDescent="0.25">
      <c r="A82" s="24" t="s">
        <v>80</v>
      </c>
      <c r="B82" s="40">
        <v>0.5</v>
      </c>
      <c r="C82" s="40">
        <v>0.5</v>
      </c>
      <c r="D82" s="40">
        <v>0.5</v>
      </c>
      <c r="E82" s="40">
        <v>0.5</v>
      </c>
      <c r="F82" s="40">
        <v>0.5</v>
      </c>
      <c r="G82" s="40">
        <v>0.5</v>
      </c>
      <c r="H82" s="23"/>
      <c r="I82" s="23"/>
      <c r="J82" s="23"/>
      <c r="K82" s="23"/>
      <c r="L82" s="23"/>
      <c r="M82" s="23"/>
      <c r="N82" s="23"/>
      <c r="O82" s="23"/>
    </row>
    <row r="83" spans="1:15" ht="10.5" x14ac:dyDescent="0.25">
      <c r="A83" s="24"/>
      <c r="B83" s="24"/>
      <c r="C83" s="24"/>
      <c r="D83" s="24"/>
      <c r="E83" s="24"/>
      <c r="F83" s="24"/>
      <c r="G83" s="24"/>
      <c r="H83" s="23"/>
      <c r="I83" s="23"/>
      <c r="J83" s="23"/>
      <c r="K83" s="23"/>
      <c r="L83" s="23"/>
      <c r="M83" s="23"/>
      <c r="N83" s="23"/>
      <c r="O83" s="23"/>
    </row>
    <row r="84" spans="1:15" ht="10.5" x14ac:dyDescent="0.25">
      <c r="A84" s="34" t="s">
        <v>81</v>
      </c>
      <c r="B84" s="24"/>
      <c r="C84" s="24"/>
      <c r="D84" s="24"/>
      <c r="E84" s="24"/>
      <c r="F84" s="24"/>
      <c r="G84" s="24"/>
      <c r="H84" s="23"/>
      <c r="I84" s="23"/>
      <c r="J84" s="23"/>
      <c r="K84" s="23"/>
      <c r="L84" s="23"/>
      <c r="M84" s="23"/>
      <c r="N84" s="23"/>
      <c r="O84" s="23"/>
    </row>
    <row r="85" spans="1:15" ht="10.5" x14ac:dyDescent="0.25">
      <c r="A85" s="24" t="s">
        <v>82</v>
      </c>
      <c r="B85" s="35">
        <v>3035</v>
      </c>
      <c r="C85" s="35">
        <v>3131</v>
      </c>
      <c r="D85" s="35">
        <v>3699</v>
      </c>
      <c r="E85" s="35">
        <v>4344</v>
      </c>
      <c r="F85" s="35">
        <v>4513</v>
      </c>
      <c r="G85" s="35">
        <v>4577</v>
      </c>
      <c r="H85" s="23"/>
      <c r="I85" s="23"/>
      <c r="J85" s="23"/>
      <c r="K85" s="23"/>
      <c r="L85" s="23"/>
      <c r="M85" s="23"/>
      <c r="N85" s="23"/>
      <c r="O85" s="23"/>
    </row>
    <row r="86" spans="1:15" ht="10.5" x14ac:dyDescent="0.25">
      <c r="A86" s="24" t="s">
        <v>83</v>
      </c>
      <c r="B86" s="35">
        <v>2902</v>
      </c>
      <c r="C86" s="35">
        <v>2986</v>
      </c>
      <c r="D86" s="35">
        <v>3526</v>
      </c>
      <c r="E86" s="35">
        <v>4170</v>
      </c>
      <c r="F86" s="35">
        <v>4339</v>
      </c>
      <c r="G86" s="35">
        <v>4381</v>
      </c>
      <c r="H86" s="23"/>
      <c r="I86" s="23"/>
      <c r="J86" s="23"/>
      <c r="K86" s="23"/>
      <c r="L86" s="23"/>
      <c r="M86" s="23"/>
      <c r="N86" s="23"/>
      <c r="O86" s="23"/>
    </row>
    <row r="87" spans="1:15" ht="10.5" x14ac:dyDescent="0.25">
      <c r="A87" s="24" t="s">
        <v>84</v>
      </c>
      <c r="B87" s="35">
        <v>2613</v>
      </c>
      <c r="C87" s="35">
        <v>2675</v>
      </c>
      <c r="D87" s="35">
        <v>3138</v>
      </c>
      <c r="E87" s="35">
        <v>3548</v>
      </c>
      <c r="F87" s="35">
        <v>3729</v>
      </c>
      <c r="G87" s="35">
        <v>3776</v>
      </c>
      <c r="H87" s="23"/>
      <c r="I87" s="23"/>
      <c r="J87" s="23"/>
      <c r="K87" s="23"/>
      <c r="L87" s="23"/>
      <c r="M87" s="23"/>
      <c r="N87" s="23"/>
      <c r="O87" s="23"/>
    </row>
    <row r="88" spans="1:15" ht="10.5" x14ac:dyDescent="0.25">
      <c r="A88" s="24" t="s">
        <v>85</v>
      </c>
      <c r="B88" s="35">
        <v>3103</v>
      </c>
      <c r="C88" s="35">
        <v>3199</v>
      </c>
      <c r="D88" s="35">
        <v>3780</v>
      </c>
      <c r="E88" s="35">
        <v>4428</v>
      </c>
      <c r="F88" s="35">
        <v>4596</v>
      </c>
      <c r="G88" s="35" t="s">
        <v>86</v>
      </c>
      <c r="H88" s="23"/>
      <c r="I88" s="23"/>
      <c r="J88" s="23"/>
      <c r="K88" s="23"/>
      <c r="L88" s="23"/>
      <c r="M88" s="23"/>
      <c r="N88" s="23"/>
      <c r="O88" s="23"/>
    </row>
    <row r="89" spans="1:15" ht="10.5" x14ac:dyDescent="0.25">
      <c r="A89" s="24" t="s">
        <v>87</v>
      </c>
      <c r="B89" s="35">
        <v>4979</v>
      </c>
      <c r="C89" s="35">
        <v>5202</v>
      </c>
      <c r="D89" s="35">
        <v>6036</v>
      </c>
      <c r="E89" s="35">
        <v>7146</v>
      </c>
      <c r="F89" s="35">
        <v>7292</v>
      </c>
      <c r="G89" s="35">
        <v>7363</v>
      </c>
      <c r="H89" s="23"/>
      <c r="I89" s="23"/>
      <c r="J89" s="23"/>
      <c r="K89" s="23"/>
      <c r="L89" s="23"/>
      <c r="M89" s="23"/>
      <c r="N89" s="23"/>
      <c r="O89" s="23"/>
    </row>
    <row r="90" spans="1:15" ht="10.5" x14ac:dyDescent="0.25">
      <c r="A90" s="24" t="s">
        <v>88</v>
      </c>
      <c r="B90" s="39">
        <v>0.19841200000000001</v>
      </c>
      <c r="C90" s="39">
        <v>0.20999499999999999</v>
      </c>
      <c r="D90" s="39">
        <v>0.23788799999999999</v>
      </c>
      <c r="E90" s="39">
        <v>0.285889</v>
      </c>
      <c r="F90" s="39">
        <v>0.17146</v>
      </c>
      <c r="G90" s="39">
        <v>9.2602000000000004E-2</v>
      </c>
      <c r="H90" s="23"/>
      <c r="I90" s="23"/>
      <c r="J90" s="23"/>
      <c r="K90" s="23"/>
      <c r="L90" s="23"/>
      <c r="M90" s="23"/>
      <c r="N90" s="23"/>
      <c r="O90" s="23"/>
    </row>
    <row r="91" spans="1:15" ht="10.5" x14ac:dyDescent="0.25">
      <c r="A91" s="24" t="s">
        <v>89</v>
      </c>
      <c r="B91" s="35">
        <v>247</v>
      </c>
      <c r="C91" s="35">
        <v>313</v>
      </c>
      <c r="D91" s="35">
        <v>302</v>
      </c>
      <c r="E91" s="35">
        <v>800</v>
      </c>
      <c r="F91" s="35">
        <v>572</v>
      </c>
      <c r="G91" s="35">
        <v>572</v>
      </c>
      <c r="H91" s="23"/>
      <c r="I91" s="23"/>
      <c r="J91" s="23"/>
      <c r="K91" s="23"/>
      <c r="L91" s="23"/>
      <c r="M91" s="23"/>
      <c r="N91" s="23"/>
      <c r="O91" s="23"/>
    </row>
    <row r="92" spans="1:15" ht="10.5" x14ac:dyDescent="0.25">
      <c r="A92" s="24" t="s">
        <v>90</v>
      </c>
      <c r="B92" s="35">
        <v>226</v>
      </c>
      <c r="C92" s="35">
        <v>241</v>
      </c>
      <c r="D92" s="35">
        <v>264</v>
      </c>
      <c r="E92" s="35">
        <v>292</v>
      </c>
      <c r="F92" s="35">
        <v>331</v>
      </c>
      <c r="G92" s="35">
        <v>331</v>
      </c>
      <c r="H92" s="23"/>
      <c r="I92" s="23"/>
      <c r="J92" s="23"/>
      <c r="K92" s="23"/>
      <c r="L92" s="23"/>
      <c r="M92" s="23"/>
      <c r="N92" s="23"/>
      <c r="O92" s="23"/>
    </row>
    <row r="93" spans="1:15" ht="10.5" x14ac:dyDescent="0.25">
      <c r="A93" s="24" t="s">
        <v>91</v>
      </c>
      <c r="B93" s="35">
        <v>473</v>
      </c>
      <c r="C93" s="35">
        <v>554</v>
      </c>
      <c r="D93" s="35">
        <v>566</v>
      </c>
      <c r="E93" s="35">
        <v>1092</v>
      </c>
      <c r="F93" s="35">
        <v>903</v>
      </c>
      <c r="G93" s="35">
        <v>903</v>
      </c>
      <c r="H93" s="23"/>
      <c r="I93" s="23"/>
      <c r="J93" s="23"/>
      <c r="K93" s="23"/>
      <c r="L93" s="23"/>
      <c r="M93" s="23"/>
      <c r="N93" s="23"/>
      <c r="O93" s="23"/>
    </row>
    <row r="94" spans="1:15" ht="10.5" x14ac:dyDescent="0.25">
      <c r="A94" s="24" t="s">
        <v>92</v>
      </c>
      <c r="B94" s="35">
        <v>38</v>
      </c>
      <c r="C94" s="35">
        <v>-25</v>
      </c>
      <c r="D94" s="35">
        <v>31</v>
      </c>
      <c r="E94" s="35">
        <v>350</v>
      </c>
      <c r="F94" s="35">
        <v>-578</v>
      </c>
      <c r="G94" s="35">
        <v>-578</v>
      </c>
      <c r="H94" s="23"/>
      <c r="I94" s="23"/>
      <c r="J94" s="23"/>
      <c r="K94" s="23"/>
      <c r="L94" s="23"/>
      <c r="M94" s="23"/>
      <c r="N94" s="23"/>
      <c r="O94" s="23"/>
    </row>
    <row r="95" spans="1:15" ht="10.5" x14ac:dyDescent="0.25">
      <c r="A95" s="24" t="s">
        <v>93</v>
      </c>
      <c r="B95" s="35">
        <v>-11</v>
      </c>
      <c r="C95" s="35">
        <v>-8</v>
      </c>
      <c r="D95" s="35">
        <v>61</v>
      </c>
      <c r="E95" s="35">
        <v>187</v>
      </c>
      <c r="F95" s="35">
        <v>-15</v>
      </c>
      <c r="G95" s="35">
        <v>-15</v>
      </c>
      <c r="H95" s="23"/>
      <c r="I95" s="23"/>
      <c r="J95" s="23"/>
      <c r="K95" s="23"/>
      <c r="L95" s="23"/>
      <c r="M95" s="23"/>
      <c r="N95" s="23"/>
      <c r="O95" s="23"/>
    </row>
    <row r="96" spans="1:15" ht="10.5" x14ac:dyDescent="0.25">
      <c r="A96" s="24" t="s">
        <v>94</v>
      </c>
      <c r="B96" s="35">
        <v>27</v>
      </c>
      <c r="C96" s="35">
        <v>-33</v>
      </c>
      <c r="D96" s="35">
        <v>92</v>
      </c>
      <c r="E96" s="35">
        <v>537</v>
      </c>
      <c r="F96" s="35">
        <v>-593</v>
      </c>
      <c r="G96" s="35">
        <v>-593</v>
      </c>
      <c r="H96" s="23"/>
      <c r="I96" s="23"/>
      <c r="J96" s="23"/>
      <c r="K96" s="23"/>
      <c r="L96" s="23"/>
      <c r="M96" s="23"/>
      <c r="N96" s="23"/>
      <c r="O96" s="23"/>
    </row>
    <row r="97" spans="1:15" ht="10.5" x14ac:dyDescent="0.25">
      <c r="A97" s="24"/>
      <c r="B97" s="24"/>
      <c r="C97" s="24"/>
      <c r="D97" s="24"/>
      <c r="E97" s="24"/>
      <c r="F97" s="24"/>
      <c r="G97" s="24"/>
      <c r="H97" s="23"/>
      <c r="I97" s="23"/>
      <c r="J97" s="23"/>
      <c r="K97" s="23"/>
      <c r="L97" s="23"/>
      <c r="M97" s="23"/>
      <c r="N97" s="23"/>
      <c r="O97" s="23"/>
    </row>
    <row r="98" spans="1:15" ht="10.5" x14ac:dyDescent="0.25">
      <c r="A98" s="24" t="s">
        <v>95</v>
      </c>
      <c r="B98" s="35">
        <v>1498.625</v>
      </c>
      <c r="C98" s="35">
        <v>1524.875</v>
      </c>
      <c r="D98" s="35">
        <v>1753.5</v>
      </c>
      <c r="E98" s="35">
        <v>3602.75</v>
      </c>
      <c r="F98" s="35">
        <v>1116.125</v>
      </c>
      <c r="G98" s="35">
        <v>1190.25</v>
      </c>
      <c r="H98" s="23"/>
      <c r="I98" s="23"/>
      <c r="J98" s="23"/>
      <c r="K98" s="23"/>
      <c r="L98" s="23"/>
      <c r="M98" s="23"/>
      <c r="N98" s="23"/>
      <c r="O98" s="23"/>
    </row>
    <row r="99" spans="1:15" ht="10.5" x14ac:dyDescent="0.25">
      <c r="A99" s="24" t="s">
        <v>96</v>
      </c>
      <c r="B99" s="35">
        <v>2</v>
      </c>
      <c r="C99" s="35">
        <v>1</v>
      </c>
      <c r="D99" s="35">
        <v>3</v>
      </c>
      <c r="E99" s="35">
        <v>2</v>
      </c>
      <c r="F99" s="35">
        <v>-1</v>
      </c>
      <c r="G99" s="35" t="s">
        <v>34</v>
      </c>
      <c r="H99" s="23"/>
      <c r="I99" s="23"/>
      <c r="J99" s="23"/>
      <c r="K99" s="23"/>
      <c r="L99" s="23"/>
      <c r="M99" s="23"/>
      <c r="N99" s="23"/>
      <c r="O99" s="23"/>
    </row>
    <row r="100" spans="1:15" ht="10.5" x14ac:dyDescent="0.25">
      <c r="A100" s="24" t="s">
        <v>97</v>
      </c>
      <c r="B100" s="41">
        <v>44231</v>
      </c>
      <c r="C100" s="41">
        <v>44595</v>
      </c>
      <c r="D100" s="41">
        <v>44959</v>
      </c>
      <c r="E100" s="41">
        <v>44959</v>
      </c>
      <c r="F100" s="41">
        <v>44959</v>
      </c>
      <c r="G100" s="41">
        <v>45141</v>
      </c>
      <c r="H100" s="23"/>
      <c r="I100" s="23"/>
      <c r="J100" s="23"/>
      <c r="K100" s="23"/>
      <c r="L100" s="23"/>
      <c r="M100" s="23"/>
      <c r="N100" s="23"/>
      <c r="O100" s="23"/>
    </row>
    <row r="101" spans="1:15" ht="10.5" x14ac:dyDescent="0.25">
      <c r="A101" s="24" t="s">
        <v>98</v>
      </c>
      <c r="B101" s="42" t="s">
        <v>99</v>
      </c>
      <c r="C101" s="42" t="s">
        <v>99</v>
      </c>
      <c r="D101" s="42" t="s">
        <v>99</v>
      </c>
      <c r="E101" s="42" t="s">
        <v>100</v>
      </c>
      <c r="F101" s="42" t="s">
        <v>101</v>
      </c>
      <c r="G101" s="42" t="s">
        <v>101</v>
      </c>
      <c r="H101" s="23"/>
      <c r="I101" s="23"/>
      <c r="J101" s="23"/>
      <c r="K101" s="23"/>
      <c r="L101" s="23"/>
      <c r="M101" s="23"/>
      <c r="N101" s="23"/>
      <c r="O101" s="23"/>
    </row>
    <row r="102" spans="1:15" ht="10.5" x14ac:dyDescent="0.25">
      <c r="A102" s="24" t="s">
        <v>102</v>
      </c>
      <c r="B102" s="42" t="s">
        <v>103</v>
      </c>
      <c r="C102" s="42" t="s">
        <v>103</v>
      </c>
      <c r="D102" s="42" t="s">
        <v>103</v>
      </c>
      <c r="E102" s="42" t="s">
        <v>103</v>
      </c>
      <c r="F102" s="42" t="s">
        <v>103</v>
      </c>
      <c r="G102" s="42" t="s">
        <v>104</v>
      </c>
      <c r="H102" s="23"/>
      <c r="I102" s="23"/>
      <c r="J102" s="23"/>
      <c r="K102" s="23"/>
      <c r="L102" s="23"/>
      <c r="M102" s="23"/>
      <c r="N102" s="23"/>
      <c r="O102" s="23"/>
    </row>
    <row r="103" spans="1:15" ht="10.5" x14ac:dyDescent="0.25">
      <c r="A103" s="24"/>
      <c r="B103" s="24"/>
      <c r="C103" s="24"/>
      <c r="D103" s="24"/>
      <c r="E103" s="24"/>
      <c r="F103" s="24"/>
      <c r="G103" s="24"/>
      <c r="H103" s="23"/>
      <c r="I103" s="23"/>
      <c r="J103" s="23"/>
      <c r="K103" s="23"/>
      <c r="L103" s="23"/>
      <c r="M103" s="23"/>
      <c r="N103" s="23"/>
      <c r="O103" s="23"/>
    </row>
    <row r="104" spans="1:15" ht="10.5" x14ac:dyDescent="0.25">
      <c r="A104" s="34" t="s">
        <v>105</v>
      </c>
      <c r="B104" s="24"/>
      <c r="C104" s="24"/>
      <c r="D104" s="24"/>
      <c r="E104" s="24"/>
      <c r="F104" s="24"/>
      <c r="G104" s="24"/>
      <c r="H104" s="23"/>
      <c r="I104" s="23"/>
      <c r="J104" s="23"/>
      <c r="K104" s="23"/>
      <c r="L104" s="23"/>
      <c r="M104" s="23"/>
      <c r="N104" s="23"/>
      <c r="O104" s="23"/>
    </row>
    <row r="105" spans="1:15" ht="10.5" x14ac:dyDescent="0.25">
      <c r="A105" s="24" t="s">
        <v>106</v>
      </c>
      <c r="B105" s="35">
        <v>563</v>
      </c>
      <c r="C105" s="35">
        <v>594</v>
      </c>
      <c r="D105" s="35">
        <v>693</v>
      </c>
      <c r="E105" s="35">
        <v>825</v>
      </c>
      <c r="F105" s="35">
        <v>814</v>
      </c>
      <c r="G105" s="35">
        <v>803</v>
      </c>
      <c r="H105" s="23"/>
      <c r="I105" s="23"/>
      <c r="J105" s="23"/>
      <c r="K105" s="23"/>
      <c r="L105" s="23"/>
      <c r="M105" s="23"/>
      <c r="N105" s="23"/>
      <c r="O105" s="23"/>
    </row>
    <row r="106" spans="1:15" ht="10.5" x14ac:dyDescent="0.25">
      <c r="A106" s="24" t="s">
        <v>107</v>
      </c>
      <c r="B106" s="35">
        <v>68</v>
      </c>
      <c r="C106" s="35">
        <v>68</v>
      </c>
      <c r="D106" s="35">
        <v>81</v>
      </c>
      <c r="E106" s="35">
        <v>84</v>
      </c>
      <c r="F106" s="35">
        <v>83</v>
      </c>
      <c r="G106" s="35" t="s">
        <v>86</v>
      </c>
      <c r="H106" s="23"/>
      <c r="I106" s="23"/>
      <c r="J106" s="23"/>
      <c r="K106" s="23"/>
      <c r="L106" s="23"/>
      <c r="M106" s="23"/>
      <c r="N106" s="23"/>
      <c r="O106" s="23"/>
    </row>
    <row r="107" spans="1:15" ht="10.5" x14ac:dyDescent="0.25">
      <c r="A107" s="24" t="s">
        <v>108</v>
      </c>
      <c r="B107" s="35">
        <v>19.604672000000001</v>
      </c>
      <c r="C107" s="35">
        <v>19.884288000000002</v>
      </c>
      <c r="D107" s="35">
        <v>18.448560000000001</v>
      </c>
      <c r="E107" s="35">
        <v>18.240096000000001</v>
      </c>
      <c r="F107" s="35">
        <v>25.02948</v>
      </c>
      <c r="G107" s="35" t="s">
        <v>34</v>
      </c>
      <c r="H107" s="23"/>
      <c r="I107" s="23"/>
      <c r="J107" s="23"/>
      <c r="K107" s="23"/>
      <c r="L107" s="23"/>
      <c r="M107" s="23"/>
      <c r="N107" s="23"/>
      <c r="O107" s="23"/>
    </row>
    <row r="108" spans="1:15" ht="10.5" x14ac:dyDescent="0.25">
      <c r="A108" s="24" t="s">
        <v>109</v>
      </c>
      <c r="B108" s="35">
        <v>48.395327999999999</v>
      </c>
      <c r="C108" s="35">
        <v>48.115712000000002</v>
      </c>
      <c r="D108" s="35">
        <v>62.551439999999999</v>
      </c>
      <c r="E108" s="35">
        <v>65.759904000000006</v>
      </c>
      <c r="F108" s="35">
        <v>57.97052</v>
      </c>
      <c r="G108" s="35" t="s">
        <v>34</v>
      </c>
      <c r="H108" s="23"/>
      <c r="I108" s="23"/>
      <c r="J108" s="23"/>
      <c r="K108" s="23"/>
      <c r="L108" s="23"/>
      <c r="M108" s="23"/>
      <c r="N108" s="23"/>
      <c r="O108" s="23"/>
    </row>
    <row r="109" spans="1:15" ht="10.5" x14ac:dyDescent="0.25">
      <c r="A109" s="24"/>
      <c r="B109" s="24"/>
      <c r="C109" s="24"/>
      <c r="D109" s="24"/>
      <c r="E109" s="24"/>
      <c r="F109" s="24"/>
      <c r="G109" s="24"/>
      <c r="H109" s="23"/>
      <c r="I109" s="23"/>
      <c r="J109" s="23"/>
      <c r="K109" s="23"/>
      <c r="L109" s="23"/>
      <c r="M109" s="23"/>
      <c r="N109" s="23"/>
      <c r="O109" s="23"/>
    </row>
    <row r="110" spans="1:15" ht="10.5" x14ac:dyDescent="0.25">
      <c r="A110" s="24" t="s">
        <v>110</v>
      </c>
      <c r="B110" s="35" t="s">
        <v>34</v>
      </c>
      <c r="C110" s="35" t="s">
        <v>34</v>
      </c>
      <c r="D110" s="35" t="s">
        <v>34</v>
      </c>
      <c r="E110" s="35">
        <v>155</v>
      </c>
      <c r="F110" s="35">
        <v>149</v>
      </c>
      <c r="G110" s="35">
        <v>159</v>
      </c>
      <c r="H110" s="23"/>
      <c r="I110" s="23"/>
      <c r="J110" s="23"/>
      <c r="K110" s="23"/>
      <c r="L110" s="23"/>
      <c r="M110" s="23"/>
      <c r="N110" s="23"/>
      <c r="O110" s="23"/>
    </row>
    <row r="111" spans="1:15" ht="10.5" x14ac:dyDescent="0.25">
      <c r="A111" s="24" t="s">
        <v>111</v>
      </c>
      <c r="B111" s="35">
        <v>134</v>
      </c>
      <c r="C111" s="35">
        <v>146</v>
      </c>
      <c r="D111" s="35">
        <v>147</v>
      </c>
      <c r="E111" s="35">
        <v>44</v>
      </c>
      <c r="F111" s="35">
        <v>19</v>
      </c>
      <c r="G111" s="35">
        <v>18</v>
      </c>
      <c r="H111" s="23"/>
      <c r="I111" s="23"/>
      <c r="J111" s="23"/>
      <c r="K111" s="23"/>
      <c r="L111" s="23"/>
      <c r="M111" s="23"/>
      <c r="N111" s="23"/>
      <c r="O111" s="23"/>
    </row>
    <row r="112" spans="1:15" ht="10.5" x14ac:dyDescent="0.25">
      <c r="A112" s="34" t="s">
        <v>112</v>
      </c>
      <c r="B112" s="36">
        <v>134</v>
      </c>
      <c r="C112" s="36">
        <v>146</v>
      </c>
      <c r="D112" s="36">
        <v>147</v>
      </c>
      <c r="E112" s="36">
        <v>199</v>
      </c>
      <c r="F112" s="36">
        <v>168</v>
      </c>
      <c r="G112" s="36">
        <v>177</v>
      </c>
      <c r="H112" s="23"/>
      <c r="I112" s="23"/>
      <c r="J112" s="23"/>
      <c r="K112" s="23"/>
      <c r="L112" s="23"/>
      <c r="M112" s="23"/>
      <c r="N112" s="23"/>
      <c r="O112" s="23"/>
    </row>
    <row r="113" spans="1:15" ht="10.5" x14ac:dyDescent="0.25">
      <c r="A113" s="24"/>
      <c r="B113" s="24"/>
      <c r="C113" s="24"/>
      <c r="D113" s="24"/>
      <c r="E113" s="24"/>
      <c r="F113" s="24"/>
      <c r="G113" s="24"/>
      <c r="H113" s="23"/>
      <c r="I113" s="23"/>
      <c r="J113" s="23"/>
      <c r="K113" s="23"/>
      <c r="L113" s="23"/>
      <c r="M113" s="23"/>
      <c r="N113" s="23"/>
      <c r="O113" s="23"/>
    </row>
    <row r="114" spans="1:15" ht="10.5" x14ac:dyDescent="0.25">
      <c r="A114" s="43" t="s">
        <v>113</v>
      </c>
      <c r="B114" s="44"/>
      <c r="C114" s="44"/>
      <c r="D114" s="44"/>
      <c r="E114" s="44"/>
      <c r="F114" s="44"/>
      <c r="G114" s="44"/>
      <c r="H114" s="23"/>
      <c r="I114" s="23"/>
      <c r="J114" s="23"/>
      <c r="K114" s="23"/>
      <c r="L114" s="23"/>
      <c r="M114" s="23"/>
      <c r="N114" s="23"/>
      <c r="O114" s="23"/>
    </row>
    <row r="115" spans="1:15" ht="10.5" x14ac:dyDescent="0.25">
      <c r="A115" s="23" t="s">
        <v>114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0.5" x14ac:dyDescent="0.25">
      <c r="A116" s="45" t="s">
        <v>115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</sheetData>
  <phoneticPr fontId="0" type="noConversion"/>
  <pageMargins left="0.2" right="0.2" top="0.5" bottom="0.5" header="0.5" footer="0.5"/>
  <pageSetup fitToWidth="0" fitToHeight="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2:IU93"/>
  <sheetViews>
    <sheetView showGridLines="0" workbookViewId="0">
      <selection activeCell="J33" sqref="J33"/>
    </sheetView>
  </sheetViews>
  <sheetFormatPr defaultRowHeight="10" x14ac:dyDescent="0.2"/>
  <cols>
    <col min="1" max="1" width="45.81640625" customWidth="1"/>
    <col min="2" max="7" width="14.81640625" customWidth="1"/>
  </cols>
  <sheetData>
    <row r="2" spans="1:255" ht="10.5" x14ac:dyDescent="0.25">
      <c r="A2" s="23"/>
      <c r="B2" s="23"/>
      <c r="C2" s="23"/>
      <c r="D2" s="23"/>
      <c r="E2" s="23"/>
      <c r="F2" s="23"/>
      <c r="G2" s="23"/>
    </row>
    <row r="3" spans="1:255" ht="10.5" x14ac:dyDescent="0.25">
      <c r="A3" s="23"/>
      <c r="B3" s="23"/>
      <c r="C3" s="23"/>
      <c r="D3" s="23"/>
      <c r="E3" s="23"/>
      <c r="F3" s="23"/>
      <c r="G3" s="23"/>
    </row>
    <row r="4" spans="1:255" ht="10.5" x14ac:dyDescent="0.25">
      <c r="A4" s="23"/>
      <c r="B4" s="23"/>
      <c r="C4" s="23"/>
      <c r="D4" s="23"/>
      <c r="E4" s="23"/>
      <c r="F4" s="23"/>
      <c r="G4" s="23"/>
    </row>
    <row r="5" spans="1:255" ht="17" x14ac:dyDescent="0.4">
      <c r="A5" s="46" t="s">
        <v>116</v>
      </c>
      <c r="B5" s="23"/>
      <c r="C5" s="23"/>
      <c r="D5" s="23"/>
      <c r="E5" s="23"/>
      <c r="F5" s="23"/>
      <c r="G5" s="23"/>
    </row>
    <row r="6" spans="1:255" ht="10.5" x14ac:dyDescent="0.25">
      <c r="A6" s="23"/>
      <c r="B6" s="23"/>
      <c r="C6" s="23"/>
      <c r="D6" s="23"/>
      <c r="E6" s="23"/>
      <c r="F6" s="23"/>
      <c r="G6" s="23"/>
    </row>
    <row r="7" spans="1:255" ht="10.5" x14ac:dyDescent="0.25">
      <c r="A7" s="47" t="s">
        <v>1</v>
      </c>
      <c r="B7" s="25" t="s">
        <v>2</v>
      </c>
      <c r="C7" s="23" t="s">
        <v>3</v>
      </c>
      <c r="D7" s="24" t="s">
        <v>4</v>
      </c>
      <c r="E7" s="25" t="s">
        <v>5</v>
      </c>
      <c r="F7" s="23" t="s">
        <v>6</v>
      </c>
      <c r="G7" s="23"/>
    </row>
    <row r="8" spans="1:255" ht="10.5" x14ac:dyDescent="0.25">
      <c r="A8" s="24"/>
      <c r="B8" s="25" t="s">
        <v>7</v>
      </c>
      <c r="C8" s="23" t="s">
        <v>8</v>
      </c>
      <c r="D8" s="24" t="s">
        <v>4</v>
      </c>
      <c r="E8" s="25" t="s">
        <v>9</v>
      </c>
      <c r="F8" s="23" t="s">
        <v>10</v>
      </c>
      <c r="G8" s="23"/>
    </row>
    <row r="9" spans="1:255" ht="10.5" x14ac:dyDescent="0.25">
      <c r="A9" s="24"/>
      <c r="B9" s="25" t="s">
        <v>11</v>
      </c>
      <c r="C9" s="23" t="s">
        <v>12</v>
      </c>
      <c r="D9" s="24" t="s">
        <v>4</v>
      </c>
      <c r="E9" s="25" t="s">
        <v>13</v>
      </c>
      <c r="F9" s="23" t="s">
        <v>14</v>
      </c>
      <c r="G9" s="23"/>
    </row>
    <row r="10" spans="1:255" ht="10.5" x14ac:dyDescent="0.25">
      <c r="A10" s="24"/>
      <c r="B10" s="25" t="s">
        <v>15</v>
      </c>
      <c r="C10" s="23" t="s">
        <v>16</v>
      </c>
      <c r="D10" s="24" t="s">
        <v>4</v>
      </c>
      <c r="E10" s="25" t="s">
        <v>17</v>
      </c>
      <c r="F10" s="26" t="s">
        <v>18</v>
      </c>
      <c r="G10" s="23"/>
    </row>
    <row r="11" spans="1:255" ht="10.5" x14ac:dyDescent="0.25">
      <c r="A11" s="24"/>
      <c r="B11" s="25" t="s">
        <v>19</v>
      </c>
      <c r="C11" s="23" t="s">
        <v>20</v>
      </c>
      <c r="D11" s="24" t="s">
        <v>4</v>
      </c>
      <c r="E11" s="27"/>
      <c r="F11" s="27"/>
      <c r="G11" s="23"/>
    </row>
    <row r="12" spans="1:255" ht="10.5" x14ac:dyDescent="0.25">
      <c r="A12" s="23"/>
      <c r="B12" s="23"/>
      <c r="C12" s="23"/>
      <c r="D12" s="23"/>
      <c r="E12" s="23"/>
      <c r="F12" s="23"/>
      <c r="G12" s="23"/>
    </row>
    <row r="13" spans="1:255" ht="10.5" x14ac:dyDescent="0.25">
      <c r="A13" s="23"/>
      <c r="B13" s="23"/>
      <c r="C13" s="23"/>
      <c r="D13" s="23"/>
      <c r="E13" s="23"/>
      <c r="F13" s="23"/>
      <c r="G13" s="23"/>
    </row>
    <row r="14" spans="1:255" ht="10.5" x14ac:dyDescent="0.25">
      <c r="A14" s="28" t="s">
        <v>117</v>
      </c>
      <c r="B14" s="28"/>
      <c r="C14" s="28"/>
      <c r="D14" s="28"/>
      <c r="E14" s="28"/>
      <c r="F14" s="28"/>
      <c r="G14" s="2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21" x14ac:dyDescent="0.25">
      <c r="A15" s="30" t="s">
        <v>118</v>
      </c>
      <c r="B15" s="48">
        <v>43465</v>
      </c>
      <c r="C15" s="48">
        <v>43830</v>
      </c>
      <c r="D15" s="48">
        <v>44196</v>
      </c>
      <c r="E15" s="48">
        <v>44561</v>
      </c>
      <c r="F15" s="48">
        <v>44926</v>
      </c>
      <c r="G15" s="48">
        <v>45107</v>
      </c>
    </row>
    <row r="16" spans="1:255" ht="10.5" x14ac:dyDescent="0.25">
      <c r="A16" s="32" t="s">
        <v>29</v>
      </c>
      <c r="B16" s="33" t="s">
        <v>30</v>
      </c>
      <c r="C16" s="33" t="s">
        <v>30</v>
      </c>
      <c r="D16" s="33" t="s">
        <v>30</v>
      </c>
      <c r="E16" s="33" t="s">
        <v>30</v>
      </c>
      <c r="F16" s="33" t="s">
        <v>30</v>
      </c>
      <c r="G16" s="33" t="s">
        <v>30</v>
      </c>
    </row>
    <row r="17" spans="1:7" ht="10.5" x14ac:dyDescent="0.2">
      <c r="A17" s="34" t="s">
        <v>119</v>
      </c>
      <c r="B17" s="24"/>
      <c r="C17" s="24"/>
      <c r="D17" s="24"/>
      <c r="E17" s="24"/>
      <c r="F17" s="24"/>
      <c r="G17" s="24"/>
    </row>
    <row r="18" spans="1:7" ht="10.5" x14ac:dyDescent="0.2">
      <c r="A18" s="24" t="s">
        <v>120</v>
      </c>
      <c r="B18" s="35">
        <v>724</v>
      </c>
      <c r="C18" s="35">
        <v>841</v>
      </c>
      <c r="D18" s="35">
        <v>583</v>
      </c>
      <c r="E18" s="35">
        <v>607</v>
      </c>
      <c r="F18" s="35">
        <v>1799</v>
      </c>
      <c r="G18" s="35">
        <v>2877</v>
      </c>
    </row>
    <row r="19" spans="1:7" ht="10.5" x14ac:dyDescent="0.2">
      <c r="A19" s="34" t="s">
        <v>121</v>
      </c>
      <c r="B19" s="36">
        <v>724</v>
      </c>
      <c r="C19" s="36">
        <v>841</v>
      </c>
      <c r="D19" s="36">
        <v>583</v>
      </c>
      <c r="E19" s="36">
        <v>607</v>
      </c>
      <c r="F19" s="36">
        <v>1799</v>
      </c>
      <c r="G19" s="36">
        <v>2877</v>
      </c>
    </row>
    <row r="20" spans="1:7" ht="10.5" x14ac:dyDescent="0.2">
      <c r="A20" s="24"/>
      <c r="B20" s="24"/>
      <c r="C20" s="24"/>
      <c r="D20" s="24"/>
      <c r="E20" s="24"/>
      <c r="F20" s="24"/>
      <c r="G20" s="24"/>
    </row>
    <row r="21" spans="1:7" ht="10.5" x14ac:dyDescent="0.2">
      <c r="A21" s="24" t="s">
        <v>122</v>
      </c>
      <c r="B21" s="35">
        <v>953</v>
      </c>
      <c r="C21" s="35">
        <v>988</v>
      </c>
      <c r="D21" s="35">
        <v>1230</v>
      </c>
      <c r="E21" s="35">
        <v>1208</v>
      </c>
      <c r="F21" s="35">
        <v>1169</v>
      </c>
      <c r="G21" s="35">
        <v>1313</v>
      </c>
    </row>
    <row r="22" spans="1:7" ht="10.5" x14ac:dyDescent="0.2">
      <c r="A22" s="34" t="s">
        <v>123</v>
      </c>
      <c r="B22" s="36">
        <v>953</v>
      </c>
      <c r="C22" s="36">
        <v>988</v>
      </c>
      <c r="D22" s="36">
        <v>1230</v>
      </c>
      <c r="E22" s="36">
        <v>1208</v>
      </c>
      <c r="F22" s="36">
        <v>1169</v>
      </c>
      <c r="G22" s="36">
        <v>1313</v>
      </c>
    </row>
    <row r="23" spans="1:7" ht="10.5" x14ac:dyDescent="0.2">
      <c r="A23" s="24"/>
      <c r="B23" s="24"/>
      <c r="C23" s="24"/>
      <c r="D23" s="24"/>
      <c r="E23" s="24"/>
      <c r="F23" s="24"/>
      <c r="G23" s="24"/>
    </row>
    <row r="24" spans="1:7" ht="10.5" x14ac:dyDescent="0.2">
      <c r="A24" s="24" t="s">
        <v>124</v>
      </c>
      <c r="B24" s="35">
        <v>242</v>
      </c>
      <c r="C24" s="35">
        <v>220</v>
      </c>
      <c r="D24" s="35">
        <v>323</v>
      </c>
      <c r="E24" s="35">
        <v>1021</v>
      </c>
      <c r="F24" s="35">
        <v>458</v>
      </c>
      <c r="G24" s="35">
        <v>555</v>
      </c>
    </row>
    <row r="25" spans="1:7" ht="10.5" x14ac:dyDescent="0.2">
      <c r="A25" s="24" t="s">
        <v>125</v>
      </c>
      <c r="B25" s="35">
        <v>818</v>
      </c>
      <c r="C25" s="35">
        <v>943</v>
      </c>
      <c r="D25" s="35">
        <v>1000</v>
      </c>
      <c r="E25" s="35">
        <v>1035</v>
      </c>
      <c r="F25" s="35">
        <v>6149</v>
      </c>
      <c r="G25" s="35">
        <v>5413</v>
      </c>
    </row>
    <row r="26" spans="1:7" ht="10.5" x14ac:dyDescent="0.2">
      <c r="A26" s="24" t="s">
        <v>126</v>
      </c>
      <c r="B26" s="35">
        <v>63955</v>
      </c>
      <c r="C26" s="35">
        <v>64987</v>
      </c>
      <c r="D26" s="35">
        <v>84083</v>
      </c>
      <c r="E26" s="35">
        <v>150429</v>
      </c>
      <c r="F26" s="35">
        <v>147372</v>
      </c>
      <c r="G26" s="35">
        <v>89064</v>
      </c>
    </row>
    <row r="27" spans="1:7" ht="10.5" x14ac:dyDescent="0.2">
      <c r="A27" s="34" t="s">
        <v>127</v>
      </c>
      <c r="B27" s="36">
        <v>66692</v>
      </c>
      <c r="C27" s="36">
        <v>67979</v>
      </c>
      <c r="D27" s="36">
        <v>87219</v>
      </c>
      <c r="E27" s="36">
        <v>154300</v>
      </c>
      <c r="F27" s="36">
        <v>156947</v>
      </c>
      <c r="G27" s="36">
        <v>99222</v>
      </c>
    </row>
    <row r="28" spans="1:7" ht="10.5" x14ac:dyDescent="0.2">
      <c r="A28" s="24"/>
      <c r="B28" s="24"/>
      <c r="C28" s="24"/>
      <c r="D28" s="24"/>
      <c r="E28" s="24"/>
      <c r="F28" s="24"/>
      <c r="G28" s="24"/>
    </row>
    <row r="29" spans="1:7" ht="10.5" x14ac:dyDescent="0.2">
      <c r="A29" s="24" t="s">
        <v>128</v>
      </c>
      <c r="B29" s="35">
        <v>1588</v>
      </c>
      <c r="C29" s="35">
        <v>1986</v>
      </c>
      <c r="D29" s="35">
        <v>2241</v>
      </c>
      <c r="E29" s="35">
        <v>2225</v>
      </c>
      <c r="F29" s="35">
        <v>2266</v>
      </c>
      <c r="G29" s="35" t="s">
        <v>34</v>
      </c>
    </row>
    <row r="30" spans="1:7" ht="10.5" x14ac:dyDescent="0.2">
      <c r="A30" s="24" t="s">
        <v>129</v>
      </c>
      <c r="B30" s="35">
        <v>-645</v>
      </c>
      <c r="C30" s="35">
        <v>-751</v>
      </c>
      <c r="D30" s="35">
        <v>-857</v>
      </c>
      <c r="E30" s="35">
        <v>-887</v>
      </c>
      <c r="F30" s="35">
        <v>-926</v>
      </c>
      <c r="G30" s="35" t="s">
        <v>34</v>
      </c>
    </row>
    <row r="31" spans="1:7" ht="10.5" x14ac:dyDescent="0.2">
      <c r="A31" s="34" t="s">
        <v>130</v>
      </c>
      <c r="B31" s="36">
        <v>943</v>
      </c>
      <c r="C31" s="36">
        <v>1235</v>
      </c>
      <c r="D31" s="36">
        <v>1384</v>
      </c>
      <c r="E31" s="36">
        <v>1338</v>
      </c>
      <c r="F31" s="36">
        <v>1340</v>
      </c>
      <c r="G31" s="36">
        <v>1718</v>
      </c>
    </row>
    <row r="32" spans="1:7" ht="10.5" x14ac:dyDescent="0.2">
      <c r="A32" s="24"/>
      <c r="B32" s="24"/>
      <c r="C32" s="24"/>
      <c r="D32" s="24"/>
      <c r="E32" s="24"/>
      <c r="F32" s="24"/>
      <c r="G32" s="24"/>
    </row>
    <row r="33" spans="1:7" ht="10.5" x14ac:dyDescent="0.2">
      <c r="A33" s="24" t="s">
        <v>131</v>
      </c>
      <c r="B33" s="35">
        <v>13085</v>
      </c>
      <c r="C33" s="35">
        <v>13342</v>
      </c>
      <c r="D33" s="35">
        <v>21291</v>
      </c>
      <c r="E33" s="35">
        <v>21123</v>
      </c>
      <c r="F33" s="35">
        <v>21111</v>
      </c>
      <c r="G33" s="35">
        <v>21134</v>
      </c>
    </row>
    <row r="34" spans="1:7" ht="10.5" x14ac:dyDescent="0.2">
      <c r="A34" s="24" t="s">
        <v>132</v>
      </c>
      <c r="B34" s="35">
        <v>10760</v>
      </c>
      <c r="C34" s="35">
        <v>10559</v>
      </c>
      <c r="D34" s="35">
        <v>14737</v>
      </c>
      <c r="E34" s="35">
        <v>14097</v>
      </c>
      <c r="F34" s="35">
        <v>13517</v>
      </c>
      <c r="G34" s="35">
        <v>12814</v>
      </c>
    </row>
    <row r="35" spans="1:7" ht="10.5" x14ac:dyDescent="0.2">
      <c r="A35" s="24" t="s">
        <v>133</v>
      </c>
      <c r="B35" s="35">
        <v>1311</v>
      </c>
      <c r="C35" s="35">
        <v>1378</v>
      </c>
      <c r="D35" s="35">
        <v>1569</v>
      </c>
      <c r="E35" s="35">
        <v>2644</v>
      </c>
      <c r="F35" s="35">
        <v>1423</v>
      </c>
      <c r="G35" s="35">
        <v>1395</v>
      </c>
    </row>
    <row r="36" spans="1:7" ht="10.5" x14ac:dyDescent="0.2">
      <c r="A36" s="34" t="s">
        <v>134</v>
      </c>
      <c r="B36" s="36">
        <v>92791</v>
      </c>
      <c r="C36" s="36">
        <v>94493</v>
      </c>
      <c r="D36" s="36">
        <v>126200</v>
      </c>
      <c r="E36" s="36">
        <v>193502</v>
      </c>
      <c r="F36" s="36">
        <v>194338</v>
      </c>
      <c r="G36" s="36">
        <v>136283</v>
      </c>
    </row>
    <row r="37" spans="1:7" ht="10.5" x14ac:dyDescent="0.2">
      <c r="A37" s="24"/>
      <c r="B37" s="24"/>
      <c r="C37" s="24"/>
      <c r="D37" s="24"/>
      <c r="E37" s="24"/>
      <c r="F37" s="24"/>
      <c r="G37" s="24"/>
    </row>
    <row r="38" spans="1:7" ht="10.5" x14ac:dyDescent="0.2">
      <c r="A38" s="34" t="s">
        <v>135</v>
      </c>
      <c r="B38" s="24"/>
      <c r="C38" s="24"/>
      <c r="D38" s="24"/>
      <c r="E38" s="24"/>
      <c r="F38" s="24"/>
      <c r="G38" s="24"/>
    </row>
    <row r="39" spans="1:7" ht="10.5" x14ac:dyDescent="0.2">
      <c r="A39" s="24" t="s">
        <v>136</v>
      </c>
      <c r="B39" s="35">
        <v>521</v>
      </c>
      <c r="C39" s="35">
        <v>505</v>
      </c>
      <c r="D39" s="35">
        <v>639</v>
      </c>
      <c r="E39" s="35">
        <v>703</v>
      </c>
      <c r="F39" s="35">
        <v>619</v>
      </c>
      <c r="G39" s="35">
        <v>919</v>
      </c>
    </row>
    <row r="40" spans="1:7" ht="10.5" x14ac:dyDescent="0.2">
      <c r="A40" s="24" t="s">
        <v>137</v>
      </c>
      <c r="B40" s="35">
        <v>295</v>
      </c>
      <c r="C40" s="35">
        <v>304</v>
      </c>
      <c r="D40" s="35">
        <v>359</v>
      </c>
      <c r="E40" s="35">
        <v>366</v>
      </c>
      <c r="F40" s="35">
        <v>364</v>
      </c>
      <c r="G40" s="35">
        <v>226</v>
      </c>
    </row>
    <row r="41" spans="1:7" ht="10.5" x14ac:dyDescent="0.2">
      <c r="A41" s="24" t="s">
        <v>138</v>
      </c>
      <c r="B41" s="35">
        <v>951</v>
      </c>
      <c r="C41" s="35">
        <v>1321</v>
      </c>
      <c r="D41" s="35">
        <v>2411</v>
      </c>
      <c r="E41" s="35">
        <v>1022</v>
      </c>
      <c r="F41" s="35">
        <v>4</v>
      </c>
      <c r="G41" s="35" t="s">
        <v>34</v>
      </c>
    </row>
    <row r="42" spans="1:7" ht="10.5" x14ac:dyDescent="0.2">
      <c r="A42" s="24" t="s">
        <v>139</v>
      </c>
      <c r="B42" s="35" t="s">
        <v>34</v>
      </c>
      <c r="C42" s="35">
        <v>1248</v>
      </c>
      <c r="D42" s="35" t="s">
        <v>34</v>
      </c>
      <c r="E42" s="35">
        <v>499</v>
      </c>
      <c r="F42" s="35" t="s">
        <v>34</v>
      </c>
      <c r="G42" s="35" t="s">
        <v>34</v>
      </c>
    </row>
    <row r="43" spans="1:7" ht="10.5" x14ac:dyDescent="0.2">
      <c r="A43" s="24" t="s">
        <v>140</v>
      </c>
      <c r="B43" s="35" t="s">
        <v>34</v>
      </c>
      <c r="C43" s="35">
        <v>53</v>
      </c>
      <c r="D43" s="35">
        <v>69</v>
      </c>
      <c r="E43" s="35">
        <v>72</v>
      </c>
      <c r="F43" s="35">
        <v>65</v>
      </c>
      <c r="G43" s="35" t="s">
        <v>34</v>
      </c>
    </row>
    <row r="44" spans="1:7" ht="10.5" x14ac:dyDescent="0.2">
      <c r="A44" s="24" t="s">
        <v>141</v>
      </c>
      <c r="B44" s="35">
        <v>135</v>
      </c>
      <c r="C44" s="35">
        <v>129</v>
      </c>
      <c r="D44" s="35">
        <v>158</v>
      </c>
      <c r="E44" s="35">
        <v>194</v>
      </c>
      <c r="F44" s="35">
        <v>170</v>
      </c>
      <c r="G44" s="35">
        <v>437</v>
      </c>
    </row>
    <row r="45" spans="1:7" ht="10.5" x14ac:dyDescent="0.2">
      <c r="A45" s="24" t="s">
        <v>142</v>
      </c>
      <c r="B45" s="35">
        <v>64206</v>
      </c>
      <c r="C45" s="35">
        <v>65256</v>
      </c>
      <c r="D45" s="35">
        <v>84363</v>
      </c>
      <c r="E45" s="35">
        <v>150555</v>
      </c>
      <c r="F45" s="35">
        <v>147949</v>
      </c>
      <c r="G45" s="35">
        <v>88622</v>
      </c>
    </row>
    <row r="46" spans="1:7" ht="10.5" x14ac:dyDescent="0.2">
      <c r="A46" s="34" t="s">
        <v>143</v>
      </c>
      <c r="B46" s="36">
        <v>66108</v>
      </c>
      <c r="C46" s="36">
        <v>68816</v>
      </c>
      <c r="D46" s="36">
        <v>87999</v>
      </c>
      <c r="E46" s="36">
        <v>153411</v>
      </c>
      <c r="F46" s="36">
        <v>149171</v>
      </c>
      <c r="G46" s="36">
        <v>90204</v>
      </c>
    </row>
    <row r="47" spans="1:7" ht="10.5" x14ac:dyDescent="0.2">
      <c r="A47" s="24"/>
      <c r="B47" s="24"/>
      <c r="C47" s="24"/>
      <c r="D47" s="24"/>
      <c r="E47" s="24"/>
      <c r="F47" s="24"/>
      <c r="G47" s="24"/>
    </row>
    <row r="48" spans="1:7" ht="10.5" x14ac:dyDescent="0.2">
      <c r="A48" s="24" t="s">
        <v>144</v>
      </c>
      <c r="B48" s="35">
        <v>6490</v>
      </c>
      <c r="C48" s="35">
        <v>5250</v>
      </c>
      <c r="D48" s="35">
        <v>14126</v>
      </c>
      <c r="E48" s="35">
        <v>12397</v>
      </c>
      <c r="F48" s="35">
        <v>18118</v>
      </c>
      <c r="G48" s="35">
        <v>18128</v>
      </c>
    </row>
    <row r="49" spans="1:7" ht="10.5" x14ac:dyDescent="0.2">
      <c r="A49" s="24" t="s">
        <v>145</v>
      </c>
      <c r="B49" s="35" t="s">
        <v>34</v>
      </c>
      <c r="C49" s="35">
        <v>281</v>
      </c>
      <c r="D49" s="35">
        <v>320</v>
      </c>
      <c r="E49" s="35">
        <v>252</v>
      </c>
      <c r="F49" s="35">
        <v>254</v>
      </c>
      <c r="G49" s="35">
        <v>218</v>
      </c>
    </row>
    <row r="50" spans="1:7" ht="10.5" x14ac:dyDescent="0.2">
      <c r="A50" s="24" t="s">
        <v>146</v>
      </c>
      <c r="B50" s="35">
        <v>82</v>
      </c>
      <c r="C50" s="35">
        <v>72</v>
      </c>
      <c r="D50" s="35">
        <v>101</v>
      </c>
      <c r="E50" s="35">
        <v>90</v>
      </c>
      <c r="F50" s="35">
        <v>84</v>
      </c>
      <c r="G50" s="35">
        <v>92</v>
      </c>
    </row>
    <row r="51" spans="1:7" ht="10.5" x14ac:dyDescent="0.2">
      <c r="A51" s="24" t="s">
        <v>147</v>
      </c>
      <c r="B51" s="35">
        <v>204</v>
      </c>
      <c r="C51" s="35">
        <v>198</v>
      </c>
      <c r="D51" s="35">
        <v>206</v>
      </c>
      <c r="E51" s="35">
        <v>200</v>
      </c>
      <c r="F51" s="35">
        <v>160</v>
      </c>
      <c r="G51" s="35">
        <v>156</v>
      </c>
    </row>
    <row r="52" spans="1:7" ht="10.5" x14ac:dyDescent="0.2">
      <c r="A52" s="24" t="s">
        <v>148</v>
      </c>
      <c r="B52" s="35">
        <v>2337</v>
      </c>
      <c r="C52" s="35">
        <v>2314</v>
      </c>
      <c r="D52" s="35">
        <v>3563</v>
      </c>
      <c r="E52" s="35">
        <v>4100</v>
      </c>
      <c r="F52" s="35">
        <v>3493</v>
      </c>
      <c r="G52" s="35">
        <v>3256</v>
      </c>
    </row>
    <row r="53" spans="1:7" ht="10.5" x14ac:dyDescent="0.2">
      <c r="A53" s="24" t="s">
        <v>149</v>
      </c>
      <c r="B53" s="35">
        <v>268</v>
      </c>
      <c r="C53" s="35">
        <v>198</v>
      </c>
      <c r="D53" s="35">
        <v>258</v>
      </c>
      <c r="E53" s="35">
        <v>304</v>
      </c>
      <c r="F53" s="35">
        <v>297</v>
      </c>
      <c r="G53" s="35">
        <v>340</v>
      </c>
    </row>
    <row r="54" spans="1:7" ht="10.5" x14ac:dyDescent="0.2">
      <c r="A54" s="34" t="s">
        <v>150</v>
      </c>
      <c r="B54" s="36">
        <v>75489</v>
      </c>
      <c r="C54" s="36">
        <v>77129</v>
      </c>
      <c r="D54" s="36">
        <v>106573</v>
      </c>
      <c r="E54" s="36">
        <v>170754</v>
      </c>
      <c r="F54" s="36">
        <v>171577</v>
      </c>
      <c r="G54" s="36">
        <v>112394</v>
      </c>
    </row>
    <row r="55" spans="1:7" ht="10.5" x14ac:dyDescent="0.2">
      <c r="A55" s="24"/>
      <c r="B55" s="24"/>
      <c r="C55" s="24"/>
      <c r="D55" s="24"/>
      <c r="E55" s="24"/>
      <c r="F55" s="24"/>
      <c r="G55" s="24"/>
    </row>
    <row r="56" spans="1:7" ht="10.5" x14ac:dyDescent="0.2">
      <c r="A56" s="24" t="s">
        <v>151</v>
      </c>
      <c r="B56" s="35">
        <v>6</v>
      </c>
      <c r="C56" s="35">
        <v>6</v>
      </c>
      <c r="D56" s="35">
        <v>6</v>
      </c>
      <c r="E56" s="35">
        <v>6</v>
      </c>
      <c r="F56" s="35">
        <v>6</v>
      </c>
      <c r="G56" s="35">
        <v>6</v>
      </c>
    </row>
    <row r="57" spans="1:7" ht="10.5" x14ac:dyDescent="0.2">
      <c r="A57" s="24" t="s">
        <v>152</v>
      </c>
      <c r="B57" s="35">
        <v>11547</v>
      </c>
      <c r="C57" s="35">
        <v>11742</v>
      </c>
      <c r="D57" s="35">
        <v>13845</v>
      </c>
      <c r="E57" s="35">
        <v>14069</v>
      </c>
      <c r="F57" s="35">
        <v>14313</v>
      </c>
      <c r="G57" s="35">
        <v>14449</v>
      </c>
    </row>
    <row r="58" spans="1:7" ht="10.5" x14ac:dyDescent="0.2">
      <c r="A58" s="24" t="s">
        <v>153</v>
      </c>
      <c r="B58" s="35">
        <v>8317</v>
      </c>
      <c r="C58" s="35">
        <v>9629</v>
      </c>
      <c r="D58" s="35">
        <v>11039</v>
      </c>
      <c r="E58" s="35">
        <v>14350</v>
      </c>
      <c r="F58" s="35">
        <v>14943</v>
      </c>
      <c r="G58" s="35">
        <v>15925</v>
      </c>
    </row>
    <row r="59" spans="1:7" ht="10.5" x14ac:dyDescent="0.2">
      <c r="A59" s="24" t="s">
        <v>154</v>
      </c>
      <c r="B59" s="35">
        <v>-2354</v>
      </c>
      <c r="C59" s="35">
        <v>-3879</v>
      </c>
      <c r="D59" s="35">
        <v>-5200</v>
      </c>
      <c r="E59" s="35">
        <v>-5520</v>
      </c>
      <c r="F59" s="35">
        <v>-6225</v>
      </c>
      <c r="G59" s="35">
        <v>-6276</v>
      </c>
    </row>
    <row r="60" spans="1:7" ht="10.5" x14ac:dyDescent="0.2">
      <c r="A60" s="24" t="s">
        <v>155</v>
      </c>
      <c r="B60" s="35">
        <v>-315</v>
      </c>
      <c r="C60" s="35">
        <v>-243</v>
      </c>
      <c r="D60" s="35">
        <v>-192</v>
      </c>
      <c r="E60" s="35">
        <v>-196</v>
      </c>
      <c r="F60" s="35">
        <v>-331</v>
      </c>
      <c r="G60" s="35">
        <v>-284</v>
      </c>
    </row>
    <row r="61" spans="1:7" ht="10.5" x14ac:dyDescent="0.2">
      <c r="A61" s="34" t="s">
        <v>156</v>
      </c>
      <c r="B61" s="36">
        <v>17201</v>
      </c>
      <c r="C61" s="36">
        <v>17255</v>
      </c>
      <c r="D61" s="36">
        <v>19498</v>
      </c>
      <c r="E61" s="36">
        <v>22709</v>
      </c>
      <c r="F61" s="36">
        <v>22706</v>
      </c>
      <c r="G61" s="36">
        <v>23820</v>
      </c>
    </row>
    <row r="62" spans="1:7" ht="10.5" x14ac:dyDescent="0.2">
      <c r="A62" s="24"/>
      <c r="B62" s="24"/>
      <c r="C62" s="24"/>
      <c r="D62" s="24"/>
      <c r="E62" s="24"/>
      <c r="F62" s="24"/>
      <c r="G62" s="24"/>
    </row>
    <row r="63" spans="1:7" ht="10.5" x14ac:dyDescent="0.2">
      <c r="A63" s="24" t="s">
        <v>157</v>
      </c>
      <c r="B63" s="35">
        <v>101</v>
      </c>
      <c r="C63" s="35">
        <v>109</v>
      </c>
      <c r="D63" s="35">
        <v>129</v>
      </c>
      <c r="E63" s="35">
        <v>39</v>
      </c>
      <c r="F63" s="35">
        <v>55</v>
      </c>
      <c r="G63" s="35">
        <v>69</v>
      </c>
    </row>
    <row r="64" spans="1:7" ht="10.5" x14ac:dyDescent="0.2">
      <c r="A64" s="24"/>
      <c r="B64" s="24"/>
      <c r="C64" s="24"/>
      <c r="D64" s="24"/>
      <c r="E64" s="24"/>
      <c r="F64" s="24"/>
      <c r="G64" s="24"/>
    </row>
    <row r="65" spans="1:7" ht="10.5" x14ac:dyDescent="0.2">
      <c r="A65" s="34" t="s">
        <v>158</v>
      </c>
      <c r="B65" s="36">
        <v>17302</v>
      </c>
      <c r="C65" s="36">
        <v>17364</v>
      </c>
      <c r="D65" s="36">
        <v>19627</v>
      </c>
      <c r="E65" s="36">
        <v>22748</v>
      </c>
      <c r="F65" s="36">
        <v>22761</v>
      </c>
      <c r="G65" s="36">
        <v>23889</v>
      </c>
    </row>
    <row r="66" spans="1:7" ht="10.5" x14ac:dyDescent="0.2">
      <c r="A66" s="24"/>
      <c r="B66" s="24"/>
      <c r="C66" s="24"/>
      <c r="D66" s="24"/>
      <c r="E66" s="24"/>
      <c r="F66" s="24"/>
      <c r="G66" s="24"/>
    </row>
    <row r="67" spans="1:7" ht="10.5" x14ac:dyDescent="0.2">
      <c r="A67" s="34" t="s">
        <v>159</v>
      </c>
      <c r="B67" s="36">
        <v>92791</v>
      </c>
      <c r="C67" s="36">
        <v>94493</v>
      </c>
      <c r="D67" s="36">
        <v>126200</v>
      </c>
      <c r="E67" s="36">
        <v>193502</v>
      </c>
      <c r="F67" s="36">
        <v>194338</v>
      </c>
      <c r="G67" s="36">
        <v>136283</v>
      </c>
    </row>
    <row r="68" spans="1:7" ht="10.5" x14ac:dyDescent="0.2">
      <c r="A68" s="24"/>
      <c r="B68" s="24"/>
      <c r="C68" s="24"/>
      <c r="D68" s="24"/>
      <c r="E68" s="24"/>
      <c r="F68" s="24"/>
      <c r="G68" s="24"/>
    </row>
    <row r="69" spans="1:7" ht="10.5" x14ac:dyDescent="0.2">
      <c r="A69" s="34" t="s">
        <v>81</v>
      </c>
      <c r="B69" s="24"/>
      <c r="C69" s="24"/>
      <c r="D69" s="24"/>
      <c r="E69" s="24"/>
      <c r="F69" s="24"/>
      <c r="G69" s="24"/>
    </row>
    <row r="70" spans="1:7" ht="10.5" x14ac:dyDescent="0.2">
      <c r="A70" s="24" t="s">
        <v>160</v>
      </c>
      <c r="B70" s="35">
        <v>568.49807599999997</v>
      </c>
      <c r="C70" s="35">
        <v>553.45011599999998</v>
      </c>
      <c r="D70" s="35">
        <v>561.70661600000005</v>
      </c>
      <c r="E70" s="35">
        <v>561.85230999999999</v>
      </c>
      <c r="F70" s="35">
        <v>558.85124800000006</v>
      </c>
      <c r="G70" s="35">
        <v>560.30137300000001</v>
      </c>
    </row>
    <row r="71" spans="1:7" ht="10.5" x14ac:dyDescent="0.2">
      <c r="A71" s="24" t="s">
        <v>161</v>
      </c>
      <c r="B71" s="35">
        <v>569</v>
      </c>
      <c r="C71" s="35">
        <v>554.38128900000004</v>
      </c>
      <c r="D71" s="35">
        <v>561.39801</v>
      </c>
      <c r="E71" s="35">
        <v>561</v>
      </c>
      <c r="F71" s="35">
        <v>559</v>
      </c>
      <c r="G71" s="35">
        <v>560</v>
      </c>
    </row>
    <row r="72" spans="1:7" ht="10.5" x14ac:dyDescent="0.2">
      <c r="A72" s="24" t="s">
        <v>162</v>
      </c>
      <c r="B72" s="37">
        <v>30.23</v>
      </c>
      <c r="C72" s="37">
        <v>31.12</v>
      </c>
      <c r="D72" s="37">
        <v>34.729999999999997</v>
      </c>
      <c r="E72" s="37">
        <v>40.479999999999997</v>
      </c>
      <c r="F72" s="37">
        <v>40.619999999999997</v>
      </c>
      <c r="G72" s="37">
        <v>42.54</v>
      </c>
    </row>
    <row r="73" spans="1:7" ht="10.5" x14ac:dyDescent="0.2">
      <c r="A73" s="24" t="s">
        <v>163</v>
      </c>
      <c r="B73" s="35">
        <v>-6644</v>
      </c>
      <c r="C73" s="35">
        <v>-6646</v>
      </c>
      <c r="D73" s="35">
        <v>-16530</v>
      </c>
      <c r="E73" s="35">
        <v>-12511</v>
      </c>
      <c r="F73" s="35">
        <v>-11922</v>
      </c>
      <c r="G73" s="35">
        <v>-10128</v>
      </c>
    </row>
    <row r="74" spans="1:7" ht="10.5" x14ac:dyDescent="0.2">
      <c r="A74" s="24" t="s">
        <v>164</v>
      </c>
      <c r="B74" s="37">
        <v>-11.68</v>
      </c>
      <c r="C74" s="37">
        <v>-11.99</v>
      </c>
      <c r="D74" s="37">
        <v>-29.44</v>
      </c>
      <c r="E74" s="37">
        <v>-22.3</v>
      </c>
      <c r="F74" s="37">
        <v>-21.33</v>
      </c>
      <c r="G74" s="37">
        <v>-18.09</v>
      </c>
    </row>
    <row r="75" spans="1:7" ht="10.5" x14ac:dyDescent="0.2">
      <c r="A75" s="24" t="s">
        <v>165</v>
      </c>
      <c r="B75" s="35">
        <v>7441</v>
      </c>
      <c r="C75" s="35">
        <v>8153</v>
      </c>
      <c r="D75" s="35">
        <v>16926</v>
      </c>
      <c r="E75" s="35">
        <v>14242</v>
      </c>
      <c r="F75" s="35">
        <v>18441</v>
      </c>
      <c r="G75" s="35">
        <v>18346</v>
      </c>
    </row>
    <row r="76" spans="1:7" ht="10.5" x14ac:dyDescent="0.2">
      <c r="A76" s="24" t="s">
        <v>166</v>
      </c>
      <c r="B76" s="35">
        <v>6717</v>
      </c>
      <c r="C76" s="35">
        <v>7312</v>
      </c>
      <c r="D76" s="35">
        <v>16343</v>
      </c>
      <c r="E76" s="35">
        <v>13635</v>
      </c>
      <c r="F76" s="35">
        <v>16642</v>
      </c>
      <c r="G76" s="35">
        <v>15469</v>
      </c>
    </row>
    <row r="77" spans="1:7" ht="10.5" x14ac:dyDescent="0.2">
      <c r="A77" s="24" t="s">
        <v>167</v>
      </c>
      <c r="B77" s="35">
        <v>38</v>
      </c>
      <c r="C77" s="35">
        <v>8</v>
      </c>
      <c r="D77" s="35">
        <v>-23</v>
      </c>
      <c r="E77" s="35">
        <v>-41</v>
      </c>
      <c r="F77" s="35">
        <v>-14</v>
      </c>
      <c r="G77" s="35" t="s">
        <v>86</v>
      </c>
    </row>
    <row r="78" spans="1:7" ht="10.5" x14ac:dyDescent="0.2">
      <c r="A78" s="24" t="s">
        <v>168</v>
      </c>
      <c r="B78" s="35">
        <v>544</v>
      </c>
      <c r="C78" s="35">
        <v>544</v>
      </c>
      <c r="D78" s="35">
        <v>648</v>
      </c>
      <c r="E78" s="35">
        <v>672</v>
      </c>
      <c r="F78" s="35">
        <v>664</v>
      </c>
      <c r="G78" s="35" t="s">
        <v>86</v>
      </c>
    </row>
    <row r="79" spans="1:7" ht="10.5" x14ac:dyDescent="0.2">
      <c r="A79" s="24" t="s">
        <v>169</v>
      </c>
      <c r="B79" s="35">
        <v>101</v>
      </c>
      <c r="C79" s="35">
        <v>109</v>
      </c>
      <c r="D79" s="35">
        <v>129</v>
      </c>
      <c r="E79" s="35">
        <v>39</v>
      </c>
      <c r="F79" s="35">
        <v>55</v>
      </c>
      <c r="G79" s="35">
        <v>69</v>
      </c>
    </row>
    <row r="80" spans="1:7" ht="10.5" x14ac:dyDescent="0.2">
      <c r="A80" s="24" t="s">
        <v>170</v>
      </c>
      <c r="B80" s="42" t="s">
        <v>86</v>
      </c>
      <c r="C80" s="42" t="s">
        <v>86</v>
      </c>
      <c r="D80" s="42" t="s">
        <v>86</v>
      </c>
      <c r="E80" s="42" t="s">
        <v>86</v>
      </c>
      <c r="F80" s="42" t="s">
        <v>86</v>
      </c>
      <c r="G80" s="42" t="s">
        <v>86</v>
      </c>
    </row>
    <row r="81" spans="1:7" ht="10.5" x14ac:dyDescent="0.2">
      <c r="A81" s="24" t="s">
        <v>171</v>
      </c>
      <c r="B81" s="35">
        <v>145</v>
      </c>
      <c r="C81" s="35">
        <v>146</v>
      </c>
      <c r="D81" s="35">
        <v>146</v>
      </c>
      <c r="E81" s="35">
        <v>156</v>
      </c>
      <c r="F81" s="35">
        <v>155</v>
      </c>
      <c r="G81" s="35" t="s">
        <v>86</v>
      </c>
    </row>
    <row r="82" spans="1:7" ht="10.5" x14ac:dyDescent="0.2">
      <c r="A82" s="24" t="s">
        <v>172</v>
      </c>
      <c r="B82" s="35">
        <v>294</v>
      </c>
      <c r="C82" s="35">
        <v>309</v>
      </c>
      <c r="D82" s="35">
        <v>322</v>
      </c>
      <c r="E82" s="35">
        <v>342</v>
      </c>
      <c r="F82" s="35">
        <v>352</v>
      </c>
      <c r="G82" s="35" t="s">
        <v>86</v>
      </c>
    </row>
    <row r="83" spans="1:7" ht="10.5" x14ac:dyDescent="0.2">
      <c r="A83" s="24" t="s">
        <v>173</v>
      </c>
      <c r="B83" s="35">
        <v>907</v>
      </c>
      <c r="C83" s="35">
        <v>975</v>
      </c>
      <c r="D83" s="35">
        <v>1120</v>
      </c>
      <c r="E83" s="35">
        <v>1127</v>
      </c>
      <c r="F83" s="35">
        <v>1150</v>
      </c>
      <c r="G83" s="35" t="s">
        <v>86</v>
      </c>
    </row>
    <row r="84" spans="1:7" ht="10.5" x14ac:dyDescent="0.2">
      <c r="A84" s="24" t="s">
        <v>174</v>
      </c>
      <c r="B84" s="35">
        <v>242</v>
      </c>
      <c r="C84" s="35">
        <v>269</v>
      </c>
      <c r="D84" s="35">
        <v>314</v>
      </c>
      <c r="E84" s="35">
        <v>322</v>
      </c>
      <c r="F84" s="35">
        <v>331</v>
      </c>
      <c r="G84" s="35" t="s">
        <v>34</v>
      </c>
    </row>
    <row r="85" spans="1:7" ht="10.5" x14ac:dyDescent="0.2">
      <c r="A85" s="24" t="s">
        <v>175</v>
      </c>
      <c r="B85" s="49">
        <v>5161</v>
      </c>
      <c r="C85" s="49">
        <v>5989</v>
      </c>
      <c r="D85" s="49">
        <v>8890</v>
      </c>
      <c r="E85" s="49">
        <v>8858</v>
      </c>
      <c r="F85" s="49">
        <v>8911</v>
      </c>
      <c r="G85" s="49">
        <v>9116</v>
      </c>
    </row>
    <row r="86" spans="1:7" ht="10.5" x14ac:dyDescent="0.2">
      <c r="A86" s="24" t="s">
        <v>176</v>
      </c>
      <c r="B86" s="35">
        <v>7</v>
      </c>
      <c r="C86" s="35">
        <v>8</v>
      </c>
      <c r="D86" s="35">
        <v>27</v>
      </c>
      <c r="E86" s="35">
        <v>24</v>
      </c>
      <c r="F86" s="35">
        <v>22</v>
      </c>
      <c r="G86" s="35">
        <v>25</v>
      </c>
    </row>
    <row r="87" spans="1:7" ht="10.5" x14ac:dyDescent="0.2">
      <c r="A87" s="24" t="s">
        <v>97</v>
      </c>
      <c r="B87" s="41">
        <v>44231</v>
      </c>
      <c r="C87" s="41">
        <v>44595</v>
      </c>
      <c r="D87" s="41">
        <v>44959</v>
      </c>
      <c r="E87" s="41">
        <v>44959</v>
      </c>
      <c r="F87" s="41">
        <v>44959</v>
      </c>
      <c r="G87" s="41">
        <v>45141</v>
      </c>
    </row>
    <row r="88" spans="1:7" ht="10.5" x14ac:dyDescent="0.2">
      <c r="A88" s="24" t="s">
        <v>98</v>
      </c>
      <c r="B88" s="42" t="s">
        <v>100</v>
      </c>
      <c r="C88" s="42" t="s">
        <v>100</v>
      </c>
      <c r="D88" s="42" t="s">
        <v>100</v>
      </c>
      <c r="E88" s="42" t="s">
        <v>100</v>
      </c>
      <c r="F88" s="42" t="s">
        <v>101</v>
      </c>
      <c r="G88" s="42" t="s">
        <v>101</v>
      </c>
    </row>
    <row r="89" spans="1:7" ht="10.5" x14ac:dyDescent="0.2">
      <c r="A89" s="24" t="s">
        <v>102</v>
      </c>
      <c r="B89" s="42" t="s">
        <v>177</v>
      </c>
      <c r="C89" s="42" t="s">
        <v>177</v>
      </c>
      <c r="D89" s="42" t="s">
        <v>177</v>
      </c>
      <c r="E89" s="42" t="s">
        <v>103</v>
      </c>
      <c r="F89" s="42" t="s">
        <v>103</v>
      </c>
      <c r="G89" s="42" t="s">
        <v>103</v>
      </c>
    </row>
    <row r="90" spans="1:7" ht="10.5" x14ac:dyDescent="0.2">
      <c r="A90" s="24"/>
      <c r="B90" s="24"/>
      <c r="C90" s="24"/>
      <c r="D90" s="24"/>
      <c r="E90" s="24"/>
      <c r="F90" s="24"/>
      <c r="G90" s="24"/>
    </row>
    <row r="91" spans="1:7" ht="10.5" x14ac:dyDescent="0.2">
      <c r="A91" s="44"/>
      <c r="B91" s="44"/>
      <c r="C91" s="44"/>
      <c r="D91" s="44"/>
      <c r="E91" s="44"/>
      <c r="F91" s="44"/>
      <c r="G91" s="44"/>
    </row>
    <row r="92" spans="1:7" ht="10.5" x14ac:dyDescent="0.25">
      <c r="A92" s="23" t="s">
        <v>178</v>
      </c>
      <c r="B92" s="23"/>
      <c r="C92" s="23"/>
      <c r="D92" s="23"/>
      <c r="E92" s="23"/>
      <c r="F92" s="23"/>
      <c r="G92" s="23"/>
    </row>
    <row r="93" spans="1:7" ht="10.5" x14ac:dyDescent="0.25">
      <c r="A93" s="45" t="s">
        <v>115</v>
      </c>
      <c r="B93" s="23"/>
      <c r="C93" s="23"/>
      <c r="D93" s="23"/>
      <c r="E93" s="23"/>
      <c r="F93" s="23"/>
      <c r="G93" s="23"/>
    </row>
  </sheetData>
  <pageMargins left="0.2" right="0.2" top="0.5" bottom="0.5" header="0.5" footer="0.5"/>
  <pageSetup fitToWidth="0" fitToHeight="0" orientation="landscape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4:IU74"/>
  <sheetViews>
    <sheetView showGridLines="0" workbookViewId="0">
      <selection activeCell="M35" sqref="M35"/>
    </sheetView>
  </sheetViews>
  <sheetFormatPr defaultColWidth="9.1796875" defaultRowHeight="10" x14ac:dyDescent="0.2"/>
  <cols>
    <col min="1" max="1" width="45.81640625" style="6" customWidth="1"/>
    <col min="2" max="7" width="14.81640625" style="6" customWidth="1"/>
    <col min="8" max="16384" width="9.1796875" style="6"/>
  </cols>
  <sheetData>
    <row r="4" spans="1:255" ht="10.5" x14ac:dyDescent="0.25">
      <c r="A4" s="50"/>
      <c r="B4" s="50"/>
      <c r="C4" s="50"/>
      <c r="D4" s="50"/>
      <c r="E4" s="50"/>
      <c r="F4" s="50"/>
      <c r="G4" s="50"/>
    </row>
    <row r="5" spans="1:255" ht="17" x14ac:dyDescent="0.4">
      <c r="A5" s="51" t="s">
        <v>199</v>
      </c>
      <c r="B5" s="50"/>
      <c r="C5" s="50"/>
      <c r="D5" s="50"/>
      <c r="E5" s="50"/>
      <c r="F5" s="50"/>
      <c r="G5" s="50"/>
    </row>
    <row r="6" spans="1:255" ht="10.5" x14ac:dyDescent="0.25">
      <c r="A6" s="50"/>
      <c r="B6" s="50"/>
      <c r="C6" s="50"/>
      <c r="D6" s="50"/>
      <c r="E6" s="50"/>
      <c r="F6" s="50"/>
      <c r="G6" s="50"/>
    </row>
    <row r="7" spans="1:255" ht="10.5" x14ac:dyDescent="0.25">
      <c r="A7" s="52" t="s">
        <v>1</v>
      </c>
      <c r="B7" s="53" t="s">
        <v>2</v>
      </c>
      <c r="C7" s="50" t="s">
        <v>3</v>
      </c>
      <c r="D7" s="54" t="s">
        <v>4</v>
      </c>
      <c r="E7" s="53" t="s">
        <v>5</v>
      </c>
      <c r="F7" s="50" t="s">
        <v>6</v>
      </c>
      <c r="G7" s="50"/>
    </row>
    <row r="8" spans="1:255" ht="10.5" x14ac:dyDescent="0.25">
      <c r="A8" s="54"/>
      <c r="B8" s="53" t="s">
        <v>7</v>
      </c>
      <c r="C8" s="50" t="s">
        <v>8</v>
      </c>
      <c r="D8" s="54" t="s">
        <v>4</v>
      </c>
      <c r="E8" s="53" t="s">
        <v>9</v>
      </c>
      <c r="F8" s="50" t="s">
        <v>10</v>
      </c>
      <c r="G8" s="50"/>
    </row>
    <row r="9" spans="1:255" ht="10.5" x14ac:dyDescent="0.25">
      <c r="A9" s="54"/>
      <c r="B9" s="53" t="s">
        <v>11</v>
      </c>
      <c r="C9" s="50" t="s">
        <v>12</v>
      </c>
      <c r="D9" s="54" t="s">
        <v>4</v>
      </c>
      <c r="E9" s="53" t="s">
        <v>13</v>
      </c>
      <c r="F9" s="50" t="s">
        <v>14</v>
      </c>
      <c r="G9" s="50"/>
    </row>
    <row r="10" spans="1:255" ht="10.5" x14ac:dyDescent="0.25">
      <c r="A10" s="54"/>
      <c r="B10" s="53" t="s">
        <v>15</v>
      </c>
      <c r="C10" s="50" t="s">
        <v>16</v>
      </c>
      <c r="D10" s="54" t="s">
        <v>4</v>
      </c>
      <c r="E10" s="53" t="s">
        <v>17</v>
      </c>
      <c r="F10" s="55" t="s">
        <v>18</v>
      </c>
      <c r="G10" s="50"/>
    </row>
    <row r="11" spans="1:255" ht="10.5" x14ac:dyDescent="0.25">
      <c r="A11" s="54"/>
      <c r="B11" s="53" t="s">
        <v>19</v>
      </c>
      <c r="C11" s="50" t="s">
        <v>20</v>
      </c>
      <c r="D11" s="54" t="s">
        <v>4</v>
      </c>
      <c r="E11" s="56"/>
      <c r="F11" s="56"/>
      <c r="G11" s="50"/>
    </row>
    <row r="12" spans="1:255" ht="10.5" x14ac:dyDescent="0.25">
      <c r="A12" s="50"/>
      <c r="B12" s="50"/>
      <c r="C12" s="50"/>
      <c r="D12" s="50"/>
      <c r="E12" s="50"/>
      <c r="F12" s="50"/>
      <c r="G12" s="50"/>
    </row>
    <row r="13" spans="1:255" ht="10.5" x14ac:dyDescent="0.25">
      <c r="A13" s="50"/>
      <c r="B13" s="50"/>
      <c r="C13" s="50"/>
      <c r="D13" s="50"/>
      <c r="E13" s="50"/>
      <c r="F13" s="50"/>
      <c r="G13" s="50"/>
    </row>
    <row r="14" spans="1:255" ht="10.5" x14ac:dyDescent="0.25">
      <c r="A14" s="57" t="s">
        <v>200</v>
      </c>
      <c r="B14" s="57"/>
      <c r="C14" s="57"/>
      <c r="D14" s="57"/>
      <c r="E14" s="57"/>
      <c r="F14" s="57"/>
      <c r="G14" s="5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ht="31.5" x14ac:dyDescent="0.25">
      <c r="A15" s="58" t="s">
        <v>22</v>
      </c>
      <c r="B15" s="59" t="s">
        <v>201</v>
      </c>
      <c r="C15" s="59" t="s">
        <v>202</v>
      </c>
      <c r="D15" s="59" t="s">
        <v>203</v>
      </c>
      <c r="E15" s="59" t="s">
        <v>26</v>
      </c>
      <c r="F15" s="59" t="s">
        <v>27</v>
      </c>
      <c r="G15" s="59" t="s">
        <v>28</v>
      </c>
    </row>
    <row r="16" spans="1:255" ht="10.5" x14ac:dyDescent="0.25">
      <c r="A16" s="60" t="s">
        <v>29</v>
      </c>
      <c r="B16" s="61" t="s">
        <v>30</v>
      </c>
      <c r="C16" s="61" t="s">
        <v>30</v>
      </c>
      <c r="D16" s="61" t="s">
        <v>30</v>
      </c>
      <c r="E16" s="61" t="s">
        <v>30</v>
      </c>
      <c r="F16" s="61" t="s">
        <v>30</v>
      </c>
      <c r="G16" s="61" t="s">
        <v>30</v>
      </c>
    </row>
    <row r="17" spans="1:7" ht="10.5" x14ac:dyDescent="0.2">
      <c r="A17" s="62" t="s">
        <v>31</v>
      </c>
      <c r="B17" s="54"/>
      <c r="C17" s="54"/>
      <c r="D17" s="54"/>
      <c r="E17" s="54"/>
      <c r="F17" s="54"/>
      <c r="G17" s="54"/>
    </row>
    <row r="18" spans="1:7" ht="10.5" x14ac:dyDescent="0.2">
      <c r="A18" s="62" t="s">
        <v>204</v>
      </c>
      <c r="B18" s="63">
        <v>1988</v>
      </c>
      <c r="C18" s="63">
        <v>1933</v>
      </c>
      <c r="D18" s="63">
        <v>2089</v>
      </c>
      <c r="E18" s="63">
        <v>4058</v>
      </c>
      <c r="F18" s="63">
        <v>1446</v>
      </c>
      <c r="G18" s="63">
        <v>1688</v>
      </c>
    </row>
    <row r="19" spans="1:7" ht="10.5" x14ac:dyDescent="0.2">
      <c r="A19" s="54" t="s">
        <v>40</v>
      </c>
      <c r="B19" s="64">
        <v>133</v>
      </c>
      <c r="C19" s="64">
        <v>145</v>
      </c>
      <c r="D19" s="64">
        <v>173</v>
      </c>
      <c r="E19" s="64">
        <v>174</v>
      </c>
      <c r="F19" s="64">
        <v>174</v>
      </c>
      <c r="G19" s="64">
        <v>196</v>
      </c>
    </row>
    <row r="20" spans="1:7" ht="10.5" x14ac:dyDescent="0.2">
      <c r="A20" s="54" t="s">
        <v>205</v>
      </c>
      <c r="B20" s="64">
        <v>289</v>
      </c>
      <c r="C20" s="64">
        <v>311</v>
      </c>
      <c r="D20" s="64">
        <v>388</v>
      </c>
      <c r="E20" s="64">
        <v>622</v>
      </c>
      <c r="F20" s="64">
        <v>610</v>
      </c>
      <c r="G20" s="64">
        <v>605</v>
      </c>
    </row>
    <row r="21" spans="1:7" ht="10.5" x14ac:dyDescent="0.2">
      <c r="A21" s="62" t="s">
        <v>206</v>
      </c>
      <c r="B21" s="63">
        <v>422</v>
      </c>
      <c r="C21" s="63">
        <v>456</v>
      </c>
      <c r="D21" s="63">
        <v>561</v>
      </c>
      <c r="E21" s="63">
        <v>796</v>
      </c>
      <c r="F21" s="63">
        <v>784</v>
      </c>
      <c r="G21" s="63">
        <v>801</v>
      </c>
    </row>
    <row r="22" spans="1:7" ht="10.5" x14ac:dyDescent="0.2">
      <c r="A22" s="54"/>
      <c r="B22" s="54"/>
      <c r="C22" s="54"/>
      <c r="D22" s="54"/>
      <c r="E22" s="54"/>
      <c r="F22" s="54"/>
      <c r="G22" s="54"/>
    </row>
    <row r="23" spans="1:7" ht="10.5" x14ac:dyDescent="0.2">
      <c r="A23" s="54" t="s">
        <v>207</v>
      </c>
      <c r="B23" s="64">
        <v>160</v>
      </c>
      <c r="C23" s="64">
        <v>175</v>
      </c>
      <c r="D23" s="64">
        <v>179</v>
      </c>
      <c r="E23" s="64">
        <v>213</v>
      </c>
      <c r="F23" s="64">
        <v>247</v>
      </c>
      <c r="G23" s="64">
        <v>247</v>
      </c>
    </row>
    <row r="24" spans="1:7" ht="10.5" x14ac:dyDescent="0.2">
      <c r="A24" s="54" t="s">
        <v>208</v>
      </c>
      <c r="B24" s="64" t="s">
        <v>34</v>
      </c>
      <c r="C24" s="64" t="s">
        <v>34</v>
      </c>
      <c r="D24" s="64" t="s">
        <v>34</v>
      </c>
      <c r="E24" s="64">
        <v>-1419</v>
      </c>
      <c r="F24" s="64" t="s">
        <v>34</v>
      </c>
      <c r="G24" s="64" t="s">
        <v>34</v>
      </c>
    </row>
    <row r="25" spans="1:7" ht="10.5" x14ac:dyDescent="0.2">
      <c r="A25" s="54" t="s">
        <v>209</v>
      </c>
      <c r="B25" s="64">
        <v>-110</v>
      </c>
      <c r="C25" s="64" t="s">
        <v>34</v>
      </c>
      <c r="D25" s="64">
        <v>-55</v>
      </c>
      <c r="E25" s="64">
        <v>-1261</v>
      </c>
      <c r="F25" s="64">
        <v>-41</v>
      </c>
      <c r="G25" s="64">
        <v>0</v>
      </c>
    </row>
    <row r="26" spans="1:7" ht="10.5" x14ac:dyDescent="0.2">
      <c r="A26" s="54" t="s">
        <v>210</v>
      </c>
      <c r="B26" s="64">
        <v>4</v>
      </c>
      <c r="C26" s="64">
        <v>31</v>
      </c>
      <c r="D26" s="64">
        <v>11</v>
      </c>
      <c r="E26" s="64" t="s">
        <v>34</v>
      </c>
      <c r="F26" s="64" t="s">
        <v>34</v>
      </c>
      <c r="G26" s="64" t="s">
        <v>34</v>
      </c>
    </row>
    <row r="27" spans="1:7" ht="10.5" x14ac:dyDescent="0.2">
      <c r="A27" s="54" t="s">
        <v>211</v>
      </c>
      <c r="B27" s="64" t="s">
        <v>34</v>
      </c>
      <c r="C27" s="64">
        <v>-62</v>
      </c>
      <c r="D27" s="64">
        <v>-71</v>
      </c>
      <c r="E27" s="64">
        <v>42</v>
      </c>
      <c r="F27" s="64">
        <v>1340</v>
      </c>
      <c r="G27" s="64">
        <v>1348</v>
      </c>
    </row>
    <row r="28" spans="1:7" ht="10.5" x14ac:dyDescent="0.2">
      <c r="A28" s="54" t="s">
        <v>212</v>
      </c>
      <c r="B28" s="64">
        <v>130</v>
      </c>
      <c r="C28" s="64">
        <v>139</v>
      </c>
      <c r="D28" s="64">
        <v>139</v>
      </c>
      <c r="E28" s="64">
        <v>188</v>
      </c>
      <c r="F28" s="64">
        <v>155</v>
      </c>
      <c r="G28" s="64">
        <v>164</v>
      </c>
    </row>
    <row r="29" spans="1:7" ht="10.5" x14ac:dyDescent="0.2">
      <c r="A29" s="54" t="s">
        <v>213</v>
      </c>
      <c r="B29" s="64">
        <v>35</v>
      </c>
      <c r="C29" s="64">
        <v>16</v>
      </c>
      <c r="D29" s="64">
        <v>157</v>
      </c>
      <c r="E29" s="64">
        <v>593</v>
      </c>
      <c r="F29" s="64">
        <v>-500</v>
      </c>
      <c r="G29" s="64">
        <v>-573</v>
      </c>
    </row>
    <row r="30" spans="1:7" ht="10.5" x14ac:dyDescent="0.2">
      <c r="A30" s="54" t="s">
        <v>214</v>
      </c>
      <c r="B30" s="64">
        <v>-44</v>
      </c>
      <c r="C30" s="64">
        <v>-30</v>
      </c>
      <c r="D30" s="64">
        <v>-149</v>
      </c>
      <c r="E30" s="64">
        <v>-5</v>
      </c>
      <c r="F30" s="64">
        <v>20</v>
      </c>
      <c r="G30" s="64">
        <v>16</v>
      </c>
    </row>
    <row r="31" spans="1:7" ht="10.5" x14ac:dyDescent="0.2">
      <c r="A31" s="54" t="s">
        <v>215</v>
      </c>
      <c r="B31" s="64">
        <v>1</v>
      </c>
      <c r="C31" s="64">
        <v>-18</v>
      </c>
      <c r="D31" s="64">
        <v>2</v>
      </c>
      <c r="E31" s="64">
        <v>34</v>
      </c>
      <c r="F31" s="64">
        <v>-27</v>
      </c>
      <c r="G31" s="64">
        <v>-40</v>
      </c>
    </row>
    <row r="32" spans="1:7" ht="10.5" x14ac:dyDescent="0.2">
      <c r="A32" s="54" t="s">
        <v>216</v>
      </c>
      <c r="B32" s="64">
        <v>-53</v>
      </c>
      <c r="C32" s="64">
        <v>19</v>
      </c>
      <c r="D32" s="64">
        <v>18</v>
      </c>
      <c r="E32" s="64">
        <v>-116</v>
      </c>
      <c r="F32" s="64">
        <v>130</v>
      </c>
      <c r="G32" s="64">
        <v>-17</v>
      </c>
    </row>
    <row r="33" spans="1:7" ht="10.5" x14ac:dyDescent="0.2">
      <c r="A33" s="62" t="s">
        <v>217</v>
      </c>
      <c r="B33" s="63">
        <v>2533</v>
      </c>
      <c r="C33" s="63">
        <v>2659</v>
      </c>
      <c r="D33" s="63">
        <v>2881</v>
      </c>
      <c r="E33" s="63">
        <v>3123</v>
      </c>
      <c r="F33" s="63">
        <v>3554</v>
      </c>
      <c r="G33" s="63">
        <v>3634</v>
      </c>
    </row>
    <row r="34" spans="1:7" ht="10.5" x14ac:dyDescent="0.2">
      <c r="A34" s="54"/>
      <c r="B34" s="54"/>
      <c r="C34" s="54"/>
      <c r="D34" s="54"/>
      <c r="E34" s="54"/>
      <c r="F34" s="54"/>
      <c r="G34" s="54"/>
    </row>
    <row r="35" spans="1:7" ht="10.5" x14ac:dyDescent="0.2">
      <c r="A35" s="54" t="s">
        <v>218</v>
      </c>
      <c r="B35" s="64">
        <v>-134</v>
      </c>
      <c r="C35" s="64">
        <v>-153</v>
      </c>
      <c r="D35" s="64">
        <v>-207</v>
      </c>
      <c r="E35" s="64">
        <v>-179</v>
      </c>
      <c r="F35" s="64">
        <v>-225</v>
      </c>
      <c r="G35" s="64">
        <v>-216</v>
      </c>
    </row>
    <row r="36" spans="1:7" ht="10.5" x14ac:dyDescent="0.2">
      <c r="A36" s="54" t="s">
        <v>219</v>
      </c>
      <c r="B36" s="64">
        <v>-1246</v>
      </c>
      <c r="C36" s="64">
        <v>-352</v>
      </c>
      <c r="D36" s="64">
        <v>-9446</v>
      </c>
      <c r="E36" s="64">
        <v>-66</v>
      </c>
      <c r="F36" s="64">
        <v>-59</v>
      </c>
      <c r="G36" s="64">
        <v>-28</v>
      </c>
    </row>
    <row r="37" spans="1:7" ht="10.5" x14ac:dyDescent="0.2">
      <c r="A37" s="54" t="s">
        <v>220</v>
      </c>
      <c r="B37" s="64" t="s">
        <v>34</v>
      </c>
      <c r="C37" s="64" t="s">
        <v>34</v>
      </c>
      <c r="D37" s="64" t="s">
        <v>34</v>
      </c>
      <c r="E37" s="64" t="s">
        <v>34</v>
      </c>
      <c r="F37" s="64" t="s">
        <v>34</v>
      </c>
      <c r="G37" s="64" t="s">
        <v>34</v>
      </c>
    </row>
    <row r="38" spans="1:7" ht="10.5" x14ac:dyDescent="0.2">
      <c r="A38" s="54" t="s">
        <v>221</v>
      </c>
      <c r="B38" s="64">
        <v>-146</v>
      </c>
      <c r="C38" s="64">
        <v>-152</v>
      </c>
      <c r="D38" s="64">
        <v>-203</v>
      </c>
      <c r="E38" s="64">
        <v>-273</v>
      </c>
      <c r="F38" s="64">
        <v>-257</v>
      </c>
      <c r="G38" s="64">
        <v>-265</v>
      </c>
    </row>
    <row r="39" spans="1:7" ht="10.5" x14ac:dyDescent="0.2">
      <c r="A39" s="54" t="s">
        <v>222</v>
      </c>
      <c r="B39" s="64">
        <v>-229</v>
      </c>
      <c r="C39" s="64">
        <v>69</v>
      </c>
      <c r="D39" s="64">
        <v>4</v>
      </c>
      <c r="E39" s="64">
        <v>1121</v>
      </c>
      <c r="F39" s="64">
        <v>670</v>
      </c>
      <c r="G39" s="64">
        <v>-983</v>
      </c>
    </row>
    <row r="40" spans="1:7" ht="10.5" x14ac:dyDescent="0.2">
      <c r="A40" s="54" t="s">
        <v>223</v>
      </c>
      <c r="B40" s="64" t="s">
        <v>34</v>
      </c>
      <c r="C40" s="64" t="s">
        <v>34</v>
      </c>
      <c r="D40" s="64" t="s">
        <v>34</v>
      </c>
      <c r="E40" s="64" t="s">
        <v>34</v>
      </c>
      <c r="F40" s="64" t="s">
        <v>34</v>
      </c>
      <c r="G40" s="64" t="s">
        <v>34</v>
      </c>
    </row>
    <row r="41" spans="1:7" ht="10.5" x14ac:dyDescent="0.2">
      <c r="A41" s="54" t="s">
        <v>224</v>
      </c>
      <c r="B41" s="64" t="s">
        <v>34</v>
      </c>
      <c r="C41" s="64">
        <v>-1152</v>
      </c>
      <c r="D41" s="64">
        <v>-509</v>
      </c>
      <c r="E41" s="64">
        <v>-1389</v>
      </c>
      <c r="F41" s="64">
        <v>548</v>
      </c>
      <c r="G41" s="64">
        <v>470</v>
      </c>
    </row>
    <row r="42" spans="1:7" ht="10.5" x14ac:dyDescent="0.2">
      <c r="A42" s="62" t="s">
        <v>225</v>
      </c>
      <c r="B42" s="63">
        <v>-1755</v>
      </c>
      <c r="C42" s="63">
        <v>-1740</v>
      </c>
      <c r="D42" s="63">
        <v>-10361</v>
      </c>
      <c r="E42" s="63">
        <v>-786</v>
      </c>
      <c r="F42" s="63">
        <v>677</v>
      </c>
      <c r="G42" s="63">
        <v>-1022</v>
      </c>
    </row>
    <row r="43" spans="1:7" ht="10.5" x14ac:dyDescent="0.2">
      <c r="A43" s="54"/>
      <c r="B43" s="54"/>
      <c r="C43" s="54"/>
      <c r="D43" s="54"/>
      <c r="E43" s="54"/>
      <c r="F43" s="54"/>
      <c r="G43" s="54"/>
    </row>
    <row r="44" spans="1:7" ht="10.5" x14ac:dyDescent="0.2">
      <c r="A44" s="54" t="s">
        <v>226</v>
      </c>
      <c r="B44" s="64" t="s">
        <v>34</v>
      </c>
      <c r="C44" s="64">
        <v>360</v>
      </c>
      <c r="D44" s="64">
        <v>1094</v>
      </c>
      <c r="E44" s="64" t="s">
        <v>34</v>
      </c>
      <c r="F44" s="64" t="s">
        <v>34</v>
      </c>
      <c r="G44" s="64" t="s">
        <v>34</v>
      </c>
    </row>
    <row r="45" spans="1:7" ht="10.5" x14ac:dyDescent="0.2">
      <c r="A45" s="54" t="s">
        <v>227</v>
      </c>
      <c r="B45" s="64">
        <v>2213</v>
      </c>
      <c r="C45" s="64">
        <v>10</v>
      </c>
      <c r="D45" s="64">
        <v>9606</v>
      </c>
      <c r="E45" s="64" t="s">
        <v>34</v>
      </c>
      <c r="F45" s="64">
        <v>7891</v>
      </c>
      <c r="G45" s="64" t="s">
        <v>34</v>
      </c>
    </row>
    <row r="46" spans="1:7" ht="10.5" x14ac:dyDescent="0.2">
      <c r="A46" s="62" t="s">
        <v>228</v>
      </c>
      <c r="B46" s="63">
        <v>2213</v>
      </c>
      <c r="C46" s="63">
        <v>370</v>
      </c>
      <c r="D46" s="63">
        <v>10700</v>
      </c>
      <c r="E46" s="63" t="s">
        <v>34</v>
      </c>
      <c r="F46" s="63">
        <v>7891</v>
      </c>
      <c r="G46" s="63">
        <v>2705</v>
      </c>
    </row>
    <row r="47" spans="1:7" ht="10.5" x14ac:dyDescent="0.2">
      <c r="A47" s="54" t="s">
        <v>229</v>
      </c>
      <c r="B47" s="64">
        <v>-283</v>
      </c>
      <c r="C47" s="64" t="s">
        <v>34</v>
      </c>
      <c r="D47" s="64" t="s">
        <v>34</v>
      </c>
      <c r="E47" s="64">
        <v>-1393</v>
      </c>
      <c r="F47" s="64">
        <v>-1012</v>
      </c>
      <c r="G47" s="64" t="s">
        <v>34</v>
      </c>
    </row>
    <row r="48" spans="1:7" ht="10.5" x14ac:dyDescent="0.2">
      <c r="A48" s="54" t="s">
        <v>230</v>
      </c>
      <c r="B48" s="64">
        <v>-600</v>
      </c>
      <c r="C48" s="64" t="s">
        <v>34</v>
      </c>
      <c r="D48" s="64">
        <v>-2004</v>
      </c>
      <c r="E48" s="64">
        <v>-1246</v>
      </c>
      <c r="F48" s="64">
        <v>-2705</v>
      </c>
      <c r="G48" s="64" t="s">
        <v>34</v>
      </c>
    </row>
    <row r="49" spans="1:7" ht="10.5" x14ac:dyDescent="0.2">
      <c r="A49" s="62" t="s">
        <v>231</v>
      </c>
      <c r="B49" s="63">
        <v>-883</v>
      </c>
      <c r="C49" s="63" t="s">
        <v>34</v>
      </c>
      <c r="D49" s="63">
        <v>-2004</v>
      </c>
      <c r="E49" s="63">
        <v>-2639</v>
      </c>
      <c r="F49" s="63">
        <v>-3717</v>
      </c>
      <c r="G49" s="63">
        <v>-2709</v>
      </c>
    </row>
    <row r="50" spans="1:7" ht="10.5" x14ac:dyDescent="0.2">
      <c r="A50" s="54"/>
      <c r="B50" s="54"/>
      <c r="C50" s="54"/>
      <c r="D50" s="54"/>
      <c r="E50" s="54"/>
      <c r="F50" s="54"/>
      <c r="G50" s="54"/>
    </row>
    <row r="51" spans="1:7" ht="10.5" x14ac:dyDescent="0.2">
      <c r="A51" s="54" t="s">
        <v>232</v>
      </c>
      <c r="B51" s="64">
        <v>-1278</v>
      </c>
      <c r="C51" s="64">
        <v>-1525</v>
      </c>
      <c r="D51" s="64">
        <v>-1321</v>
      </c>
      <c r="E51" s="64">
        <v>-320</v>
      </c>
      <c r="F51" s="64">
        <v>-705</v>
      </c>
      <c r="G51" s="64">
        <v>-52</v>
      </c>
    </row>
    <row r="52" spans="1:7" ht="10.5" x14ac:dyDescent="0.2">
      <c r="A52" s="54"/>
      <c r="B52" s="54"/>
      <c r="C52" s="54"/>
      <c r="D52" s="54"/>
      <c r="E52" s="54"/>
      <c r="F52" s="54"/>
      <c r="G52" s="54"/>
    </row>
    <row r="53" spans="1:7" ht="10.5" x14ac:dyDescent="0.2">
      <c r="A53" s="54" t="s">
        <v>233</v>
      </c>
      <c r="B53" s="64">
        <v>-555</v>
      </c>
      <c r="C53" s="64">
        <v>-621</v>
      </c>
      <c r="D53" s="64">
        <v>-669</v>
      </c>
      <c r="E53" s="64">
        <v>-747</v>
      </c>
      <c r="F53" s="64">
        <v>-853</v>
      </c>
      <c r="G53" s="64">
        <v>-898</v>
      </c>
    </row>
    <row r="54" spans="1:7" ht="10.5" x14ac:dyDescent="0.2">
      <c r="A54" s="62" t="s">
        <v>234</v>
      </c>
      <c r="B54" s="63">
        <v>-555</v>
      </c>
      <c r="C54" s="63">
        <v>-621</v>
      </c>
      <c r="D54" s="63">
        <v>-669</v>
      </c>
      <c r="E54" s="63">
        <v>-747</v>
      </c>
      <c r="F54" s="63">
        <v>-853</v>
      </c>
      <c r="G54" s="63">
        <v>-898</v>
      </c>
    </row>
    <row r="55" spans="1:7" ht="10.5" x14ac:dyDescent="0.2">
      <c r="A55" s="54"/>
      <c r="B55" s="54"/>
      <c r="C55" s="54"/>
      <c r="D55" s="54"/>
      <c r="E55" s="54"/>
      <c r="F55" s="54"/>
      <c r="G55" s="54"/>
    </row>
    <row r="56" spans="1:7" ht="10.5" x14ac:dyDescent="0.2">
      <c r="A56" s="54" t="s">
        <v>235</v>
      </c>
      <c r="B56" s="64" t="s">
        <v>34</v>
      </c>
      <c r="C56" s="64" t="s">
        <v>34</v>
      </c>
      <c r="D56" s="64" t="s">
        <v>34</v>
      </c>
      <c r="E56" s="64" t="s">
        <v>34</v>
      </c>
      <c r="F56" s="64" t="s">
        <v>34</v>
      </c>
      <c r="G56" s="64" t="s">
        <v>34</v>
      </c>
    </row>
    <row r="57" spans="1:7" ht="10.5" x14ac:dyDescent="0.2">
      <c r="A57" s="54" t="s">
        <v>236</v>
      </c>
      <c r="B57" s="64">
        <v>40</v>
      </c>
      <c r="C57" s="64">
        <v>1352</v>
      </c>
      <c r="D57" s="64">
        <v>19294</v>
      </c>
      <c r="E57" s="64">
        <v>65732</v>
      </c>
      <c r="F57" s="64">
        <v>-4457</v>
      </c>
      <c r="G57" s="64">
        <v>-78011</v>
      </c>
    </row>
    <row r="58" spans="1:7" ht="10.5" x14ac:dyDescent="0.2">
      <c r="A58" s="62" t="s">
        <v>237</v>
      </c>
      <c r="B58" s="63">
        <v>-463</v>
      </c>
      <c r="C58" s="63">
        <v>-424</v>
      </c>
      <c r="D58" s="63">
        <v>26000</v>
      </c>
      <c r="E58" s="63">
        <v>62026</v>
      </c>
      <c r="F58" s="63">
        <v>-1841</v>
      </c>
      <c r="G58" s="63">
        <v>-78965</v>
      </c>
    </row>
    <row r="59" spans="1:7" ht="10.5" x14ac:dyDescent="0.2">
      <c r="A59" s="54"/>
      <c r="B59" s="54"/>
      <c r="C59" s="54"/>
      <c r="D59" s="54"/>
      <c r="E59" s="54"/>
      <c r="F59" s="54"/>
      <c r="G59" s="54"/>
    </row>
    <row r="60" spans="1:7" ht="10.5" x14ac:dyDescent="0.2">
      <c r="A60" s="54" t="s">
        <v>238</v>
      </c>
      <c r="B60" s="64">
        <v>-11</v>
      </c>
      <c r="C60" s="64">
        <v>4</v>
      </c>
      <c r="D60" s="64">
        <v>8</v>
      </c>
      <c r="E60" s="64">
        <v>-6</v>
      </c>
      <c r="F60" s="64">
        <v>-23</v>
      </c>
      <c r="G60" s="64">
        <v>2</v>
      </c>
    </row>
    <row r="61" spans="1:7" ht="10.5" x14ac:dyDescent="0.2">
      <c r="A61" s="62" t="s">
        <v>239</v>
      </c>
      <c r="B61" s="63">
        <v>304</v>
      </c>
      <c r="C61" s="63">
        <v>499</v>
      </c>
      <c r="D61" s="63">
        <v>18528</v>
      </c>
      <c r="E61" s="63">
        <v>64357</v>
      </c>
      <c r="F61" s="63">
        <v>2367</v>
      </c>
      <c r="G61" s="63">
        <v>-76351</v>
      </c>
    </row>
    <row r="62" spans="1:7" ht="10.5" x14ac:dyDescent="0.2">
      <c r="A62" s="54"/>
      <c r="B62" s="54"/>
      <c r="C62" s="54"/>
      <c r="D62" s="54"/>
      <c r="E62" s="54"/>
      <c r="F62" s="54"/>
      <c r="G62" s="54"/>
    </row>
    <row r="63" spans="1:7" ht="10.5" x14ac:dyDescent="0.2">
      <c r="A63" s="62" t="s">
        <v>81</v>
      </c>
      <c r="B63" s="54"/>
      <c r="C63" s="54"/>
      <c r="D63" s="54"/>
      <c r="E63" s="54"/>
      <c r="F63" s="54"/>
      <c r="G63" s="54"/>
    </row>
    <row r="64" spans="1:7" ht="10.5" x14ac:dyDescent="0.2">
      <c r="A64" s="54" t="s">
        <v>240</v>
      </c>
      <c r="B64" s="64">
        <v>202</v>
      </c>
      <c r="C64" s="64">
        <v>280</v>
      </c>
      <c r="D64" s="64">
        <v>298</v>
      </c>
      <c r="E64" s="64">
        <v>406</v>
      </c>
      <c r="F64" s="64">
        <v>550</v>
      </c>
      <c r="G64" s="64">
        <v>665</v>
      </c>
    </row>
    <row r="65" spans="1:7" ht="10.5" x14ac:dyDescent="0.2">
      <c r="A65" s="54" t="s">
        <v>241</v>
      </c>
      <c r="B65" s="64">
        <v>533</v>
      </c>
      <c r="C65" s="64">
        <v>557</v>
      </c>
      <c r="D65" s="64">
        <v>642</v>
      </c>
      <c r="E65" s="64">
        <v>1057</v>
      </c>
      <c r="F65" s="64">
        <v>882</v>
      </c>
      <c r="G65" s="64">
        <v>894</v>
      </c>
    </row>
    <row r="66" spans="1:7" ht="10.5" x14ac:dyDescent="0.2">
      <c r="A66" s="54" t="s">
        <v>242</v>
      </c>
      <c r="B66" s="64">
        <v>1790.625</v>
      </c>
      <c r="C66" s="64">
        <v>1832.75</v>
      </c>
      <c r="D66" s="64">
        <v>2042.125</v>
      </c>
      <c r="E66" s="64">
        <v>1951.125</v>
      </c>
      <c r="F66" s="64">
        <v>-1508.4</v>
      </c>
      <c r="G66" s="64">
        <v>2650.625</v>
      </c>
    </row>
    <row r="67" spans="1:7" ht="10.5" x14ac:dyDescent="0.2">
      <c r="A67" s="54" t="s">
        <v>243</v>
      </c>
      <c r="B67" s="64">
        <v>1943.125</v>
      </c>
      <c r="C67" s="64">
        <v>2010.875</v>
      </c>
      <c r="D67" s="64">
        <v>2265.25</v>
      </c>
      <c r="E67" s="64">
        <v>2215.5</v>
      </c>
      <c r="F67" s="64">
        <v>-1123.4000000000001</v>
      </c>
      <c r="G67" s="64">
        <v>3090</v>
      </c>
    </row>
    <row r="68" spans="1:7" ht="10.5" x14ac:dyDescent="0.2">
      <c r="A68" s="54" t="s">
        <v>244</v>
      </c>
      <c r="B68" s="64">
        <v>126</v>
      </c>
      <c r="C68" s="64">
        <v>133</v>
      </c>
      <c r="D68" s="64">
        <v>173</v>
      </c>
      <c r="E68" s="64">
        <v>758</v>
      </c>
      <c r="F68" s="64">
        <v>4171</v>
      </c>
      <c r="G68" s="64">
        <v>14</v>
      </c>
    </row>
    <row r="69" spans="1:7" ht="10.5" x14ac:dyDescent="0.2">
      <c r="A69" s="54" t="s">
        <v>245</v>
      </c>
      <c r="B69" s="64">
        <v>1330</v>
      </c>
      <c r="C69" s="64">
        <v>370</v>
      </c>
      <c r="D69" s="64">
        <v>8696</v>
      </c>
      <c r="E69" s="64">
        <v>-2639</v>
      </c>
      <c r="F69" s="64">
        <v>4174</v>
      </c>
      <c r="G69" s="64">
        <v>-4</v>
      </c>
    </row>
    <row r="70" spans="1:7" ht="10.5" x14ac:dyDescent="0.2">
      <c r="A70" s="54" t="s">
        <v>97</v>
      </c>
      <c r="B70" s="65">
        <v>44231</v>
      </c>
      <c r="C70" s="65">
        <v>44595</v>
      </c>
      <c r="D70" s="65">
        <v>44959</v>
      </c>
      <c r="E70" s="65">
        <v>44959</v>
      </c>
      <c r="F70" s="65">
        <v>44959</v>
      </c>
      <c r="G70" s="65">
        <v>45141</v>
      </c>
    </row>
    <row r="71" spans="1:7" ht="10.5" x14ac:dyDescent="0.2">
      <c r="A71" s="54" t="s">
        <v>98</v>
      </c>
      <c r="B71" s="66" t="s">
        <v>100</v>
      </c>
      <c r="C71" s="66" t="s">
        <v>246</v>
      </c>
      <c r="D71" s="66" t="s">
        <v>246</v>
      </c>
      <c r="E71" s="66" t="s">
        <v>100</v>
      </c>
      <c r="F71" s="66" t="s">
        <v>101</v>
      </c>
      <c r="G71" s="66" t="s">
        <v>101</v>
      </c>
    </row>
    <row r="72" spans="1:7" ht="10.5" x14ac:dyDescent="0.2">
      <c r="A72" s="54" t="s">
        <v>102</v>
      </c>
      <c r="B72" s="66" t="s">
        <v>103</v>
      </c>
      <c r="C72" s="66" t="s">
        <v>103</v>
      </c>
      <c r="D72" s="66" t="s">
        <v>103</v>
      </c>
      <c r="E72" s="66" t="s">
        <v>103</v>
      </c>
      <c r="F72" s="66" t="s">
        <v>103</v>
      </c>
      <c r="G72" s="66" t="s">
        <v>104</v>
      </c>
    </row>
    <row r="73" spans="1:7" x14ac:dyDescent="0.2">
      <c r="A73" s="7"/>
      <c r="B73" s="7"/>
      <c r="C73" s="7"/>
      <c r="D73" s="7"/>
      <c r="E73" s="7"/>
      <c r="F73" s="7"/>
      <c r="G73" s="7"/>
    </row>
    <row r="74" spans="1:7" ht="60" x14ac:dyDescent="0.2">
      <c r="A74" s="9" t="s">
        <v>115</v>
      </c>
      <c r="B74" s="10"/>
      <c r="C74" s="10"/>
      <c r="D74" s="10"/>
      <c r="E74" s="10"/>
      <c r="F74" s="10"/>
      <c r="G74" s="10"/>
    </row>
  </sheetData>
  <pageMargins left="0.2" right="0.2" top="0.5" bottom="0.5" header="0.5" footer="0.5"/>
  <pageSetup fitToWidth="0" fitToHeight="0" orientation="landscape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workbookViewId="0"/>
  </sheetViews>
  <sheetFormatPr defaultRowHeight="10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85"/>
  <sheetViews>
    <sheetView showGridLines="0" topLeftCell="A26" zoomScaleNormal="100" workbookViewId="0">
      <selection activeCell="C28" sqref="C28:N58"/>
    </sheetView>
  </sheetViews>
  <sheetFormatPr defaultRowHeight="10" x14ac:dyDescent="0.2"/>
  <cols>
    <col min="3" max="3" width="23.54296875" bestFit="1" customWidth="1"/>
    <col min="4" max="5" width="10.81640625" bestFit="1" customWidth="1"/>
    <col min="6" max="6" width="11" bestFit="1" customWidth="1"/>
    <col min="7" max="7" width="10.81640625" bestFit="1" customWidth="1"/>
    <col min="8" max="14" width="11" bestFit="1" customWidth="1"/>
    <col min="15" max="15" width="9.453125" bestFit="1" customWidth="1"/>
  </cols>
  <sheetData>
    <row r="2" spans="1:24" ht="10.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0.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4.5" x14ac:dyDescent="0.35">
      <c r="A4" s="23"/>
      <c r="B4" s="67" t="s">
        <v>300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1" thickBo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 thickBot="1" x14ac:dyDescent="0.4">
      <c r="A6" s="23"/>
      <c r="B6" s="23"/>
      <c r="C6" s="69" t="s">
        <v>322</v>
      </c>
      <c r="D6" s="70">
        <f>Master!C9</f>
        <v>2</v>
      </c>
      <c r="E6" s="71" t="str">
        <f>IF(D6=1,"Base",IF(D6=2,"Bull",IF(D6=3,"Bear","Error")))</f>
        <v>Bull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23"/>
      <c r="Q6" s="23"/>
      <c r="R6" s="23"/>
      <c r="S6" s="23"/>
      <c r="T6" s="23"/>
      <c r="U6" s="23"/>
      <c r="V6" s="23"/>
      <c r="W6" s="23"/>
      <c r="X6" s="23"/>
    </row>
    <row r="7" spans="1:24" ht="15" thickBot="1" x14ac:dyDescent="0.4">
      <c r="A7" s="23"/>
      <c r="B7" s="2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3"/>
      <c r="Q7" s="23"/>
      <c r="R7" s="23"/>
      <c r="S7" s="23"/>
      <c r="T7" s="23"/>
      <c r="U7" s="23"/>
      <c r="V7" s="23"/>
      <c r="W7" s="23"/>
      <c r="X7" s="23"/>
    </row>
    <row r="8" spans="1:24" ht="15" thickBot="1" x14ac:dyDescent="0.4">
      <c r="A8" s="23"/>
      <c r="B8" s="23"/>
      <c r="C8" s="15"/>
      <c r="D8" s="259" t="s">
        <v>320</v>
      </c>
      <c r="E8" s="260"/>
      <c r="F8" s="260"/>
      <c r="G8" s="260"/>
      <c r="H8" s="260"/>
      <c r="I8" s="260"/>
      <c r="J8" s="261" t="s">
        <v>321</v>
      </c>
      <c r="K8" s="261"/>
      <c r="L8" s="261"/>
      <c r="M8" s="261"/>
      <c r="N8" s="261"/>
      <c r="O8" s="15"/>
      <c r="P8" s="72" t="s">
        <v>382</v>
      </c>
      <c r="Q8" s="73"/>
      <c r="R8" s="73"/>
      <c r="S8" s="73"/>
      <c r="T8" s="73"/>
      <c r="U8" s="73"/>
      <c r="V8" s="73"/>
      <c r="W8" s="73"/>
      <c r="X8" s="74"/>
    </row>
    <row r="9" spans="1:24" ht="14.5" x14ac:dyDescent="0.35">
      <c r="A9" s="23"/>
      <c r="B9" s="23"/>
      <c r="C9" s="15"/>
      <c r="D9" s="75" t="str">
        <f>DCF!C7</f>
        <v>FY2018</v>
      </c>
      <c r="E9" s="75" t="str">
        <f>DCF!D7</f>
        <v>FY2019</v>
      </c>
      <c r="F9" s="75" t="str">
        <f>DCF!E7</f>
        <v>FY2020</v>
      </c>
      <c r="G9" s="75" t="str">
        <f>DCF!F7</f>
        <v>FY2021</v>
      </c>
      <c r="H9" s="75" t="str">
        <f>DCF!G7</f>
        <v>FY2022</v>
      </c>
      <c r="I9" s="76" t="str">
        <f>DCF!H7</f>
        <v>FY2023</v>
      </c>
      <c r="J9" s="75" t="str">
        <f>DCF!I7</f>
        <v>FY2024</v>
      </c>
      <c r="K9" s="75" t="str">
        <f>DCF!J7</f>
        <v>FY2025</v>
      </c>
      <c r="L9" s="75" t="str">
        <f>DCF!K7</f>
        <v>FY2026</v>
      </c>
      <c r="M9" s="75" t="str">
        <f>DCF!L7</f>
        <v>FY2027</v>
      </c>
      <c r="N9" s="75" t="str">
        <f>DCF!M7</f>
        <v>FY2028</v>
      </c>
      <c r="O9" s="15"/>
      <c r="P9" s="23"/>
      <c r="Q9" s="23"/>
      <c r="R9" s="23"/>
      <c r="S9" s="23"/>
      <c r="T9" s="23"/>
      <c r="U9" s="23"/>
      <c r="V9" s="23"/>
      <c r="W9" s="23"/>
      <c r="X9" s="23"/>
    </row>
    <row r="10" spans="1:24" ht="15" thickBot="1" x14ac:dyDescent="0.4">
      <c r="A10" s="23"/>
      <c r="B10" s="23"/>
      <c r="C10" s="15"/>
      <c r="D10" s="77">
        <f>DCF!C8</f>
        <v>43465</v>
      </c>
      <c r="E10" s="77">
        <f>DCF!D8</f>
        <v>43830</v>
      </c>
      <c r="F10" s="77">
        <f>DCF!E8</f>
        <v>44196</v>
      </c>
      <c r="G10" s="77">
        <f>DCF!F8</f>
        <v>44561</v>
      </c>
      <c r="H10" s="77">
        <f>DCF!G8</f>
        <v>44926</v>
      </c>
      <c r="I10" s="78">
        <f>DCF!H8</f>
        <v>45291</v>
      </c>
      <c r="J10" s="77">
        <f>DCF!I8</f>
        <v>45657</v>
      </c>
      <c r="K10" s="77">
        <f>DCF!J8</f>
        <v>46022</v>
      </c>
      <c r="L10" s="77">
        <f>DCF!K8</f>
        <v>46387</v>
      </c>
      <c r="M10" s="77">
        <f>DCF!L8</f>
        <v>46752</v>
      </c>
      <c r="N10" s="77">
        <f>DCF!M8</f>
        <v>47118</v>
      </c>
      <c r="O10" s="15"/>
      <c r="P10" s="14" t="s">
        <v>196</v>
      </c>
      <c r="Q10" s="23"/>
      <c r="R10" s="23"/>
      <c r="S10" s="23"/>
      <c r="T10" s="23"/>
      <c r="U10" s="23"/>
      <c r="V10" s="23"/>
      <c r="W10" s="23"/>
      <c r="X10" s="23"/>
    </row>
    <row r="11" spans="1:24" ht="14.5" x14ac:dyDescent="0.35">
      <c r="A11" s="23"/>
      <c r="B11" s="23"/>
      <c r="C11" s="15"/>
      <c r="D11" s="15"/>
      <c r="E11" s="15"/>
      <c r="F11" s="15"/>
      <c r="G11" s="15"/>
      <c r="H11" s="15"/>
      <c r="I11" s="79"/>
      <c r="J11" s="15"/>
      <c r="K11" s="15"/>
      <c r="L11" s="15"/>
      <c r="M11" s="15"/>
      <c r="N11" s="15"/>
      <c r="O11" s="15"/>
      <c r="P11" s="80" t="s">
        <v>393</v>
      </c>
      <c r="Q11" s="81"/>
      <c r="R11" s="81"/>
      <c r="S11" s="81"/>
      <c r="T11" s="81"/>
      <c r="U11" s="81"/>
      <c r="V11" s="81"/>
      <c r="W11" s="82"/>
      <c r="X11" s="83"/>
    </row>
    <row r="12" spans="1:24" ht="14.5" x14ac:dyDescent="0.35">
      <c r="A12" s="23"/>
      <c r="B12" s="23"/>
      <c r="C12" s="84" t="s">
        <v>195</v>
      </c>
      <c r="D12" s="85">
        <f>'Income Statement'!B25</f>
        <v>1780</v>
      </c>
      <c r="E12" s="85">
        <f>'Income Statement'!C25</f>
        <v>1865</v>
      </c>
      <c r="F12" s="85">
        <f>'Income Statement'!D25</f>
        <v>2147</v>
      </c>
      <c r="G12" s="85">
        <f>'Income Statement'!E25</f>
        <v>2589</v>
      </c>
      <c r="H12" s="85">
        <f>'Income Statement'!F25</f>
        <v>2532</v>
      </c>
      <c r="I12" s="86">
        <f>('Income Statement'!G25-H12)*2+H12</f>
        <v>2546</v>
      </c>
      <c r="J12" s="15"/>
      <c r="K12" s="15"/>
      <c r="L12" s="15"/>
      <c r="M12" s="15"/>
      <c r="N12" s="15"/>
      <c r="O12" s="15"/>
      <c r="P12" s="87" t="s">
        <v>387</v>
      </c>
      <c r="Q12" s="15"/>
      <c r="R12" s="15"/>
      <c r="S12" s="15"/>
      <c r="T12" s="15"/>
      <c r="U12" s="15"/>
      <c r="V12" s="15"/>
      <c r="W12" s="23"/>
      <c r="X12" s="88"/>
    </row>
    <row r="13" spans="1:24" ht="15" thickBot="1" x14ac:dyDescent="0.4">
      <c r="A13" s="23"/>
      <c r="B13" s="23"/>
      <c r="C13" s="89" t="s">
        <v>314</v>
      </c>
      <c r="D13" s="90">
        <f>D12/'Income Statement'!B18</f>
        <v>0.35750150632657163</v>
      </c>
      <c r="E13" s="90">
        <f>E12/'Income Statement'!C18</f>
        <v>0.35851595540176856</v>
      </c>
      <c r="F13" s="90">
        <f>F12/'Income Statement'!D18</f>
        <v>0.35569913850231943</v>
      </c>
      <c r="G13" s="90">
        <f>G12/'Income Statement'!E18</f>
        <v>0.36230058774139379</v>
      </c>
      <c r="H13" s="90">
        <f>H12/'Income Statement'!F18</f>
        <v>0.3472298409215579</v>
      </c>
      <c r="I13" s="91">
        <f>I12/'Income Statement'!G18</f>
        <v>0.34578296889854676</v>
      </c>
      <c r="J13" s="92">
        <f>CHOOSE($D$6,J14,J15,J16)</f>
        <v>0.34799999999999998</v>
      </c>
      <c r="K13" s="92">
        <f t="shared" ref="K13:N13" si="0">CHOOSE($D$6,K14,K15,K16)</f>
        <v>0.34799999999999998</v>
      </c>
      <c r="L13" s="92">
        <f t="shared" si="0"/>
        <v>0.34799999999999998</v>
      </c>
      <c r="M13" s="92">
        <f t="shared" si="0"/>
        <v>0.34799999999999998</v>
      </c>
      <c r="N13" s="92">
        <f t="shared" si="0"/>
        <v>0.34799999999999998</v>
      </c>
      <c r="O13" s="93"/>
      <c r="P13" s="94" t="s">
        <v>388</v>
      </c>
      <c r="Q13" s="95"/>
      <c r="R13" s="95"/>
      <c r="S13" s="95"/>
      <c r="T13" s="95"/>
      <c r="U13" s="95"/>
      <c r="V13" s="95"/>
      <c r="W13" s="96"/>
      <c r="X13" s="97"/>
    </row>
    <row r="14" spans="1:24" ht="14.5" x14ac:dyDescent="0.35">
      <c r="A14" s="23"/>
      <c r="B14" s="23"/>
      <c r="C14" s="98" t="s">
        <v>196</v>
      </c>
      <c r="D14" s="99"/>
      <c r="E14" s="99"/>
      <c r="F14" s="99"/>
      <c r="G14" s="99"/>
      <c r="H14" s="99"/>
      <c r="I14" s="100"/>
      <c r="J14" s="101">
        <f>AVERAGE($D$13:$I$13)</f>
        <v>0.35450499963202636</v>
      </c>
      <c r="K14" s="101">
        <f t="shared" ref="K14:N14" si="1">AVERAGE($D$13:$I$13)</f>
        <v>0.35450499963202636</v>
      </c>
      <c r="L14" s="101">
        <f t="shared" si="1"/>
        <v>0.35450499963202636</v>
      </c>
      <c r="M14" s="101">
        <f t="shared" si="1"/>
        <v>0.35450499963202636</v>
      </c>
      <c r="N14" s="101">
        <f t="shared" si="1"/>
        <v>0.35450499963202636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" thickBot="1" x14ac:dyDescent="0.4">
      <c r="A15" s="23"/>
      <c r="B15" s="23"/>
      <c r="C15" s="98" t="s">
        <v>197</v>
      </c>
      <c r="D15" s="99"/>
      <c r="E15" s="99"/>
      <c r="F15" s="99"/>
      <c r="G15" s="99"/>
      <c r="H15" s="99"/>
      <c r="I15" s="100"/>
      <c r="J15" s="101">
        <v>0.34799999999999998</v>
      </c>
      <c r="K15" s="101">
        <v>0.34799999999999998</v>
      </c>
      <c r="L15" s="101">
        <v>0.34799999999999998</v>
      </c>
      <c r="M15" s="101">
        <v>0.34799999999999998</v>
      </c>
      <c r="N15" s="101">
        <v>0.34799999999999998</v>
      </c>
      <c r="O15" s="93"/>
      <c r="P15" s="14" t="s">
        <v>197</v>
      </c>
      <c r="Q15" s="23"/>
      <c r="R15" s="23"/>
      <c r="S15" s="23"/>
      <c r="T15" s="23"/>
      <c r="U15" s="23"/>
      <c r="V15" s="23"/>
      <c r="W15" s="23"/>
      <c r="X15" s="23"/>
    </row>
    <row r="16" spans="1:24" ht="14.5" x14ac:dyDescent="0.35">
      <c r="A16" s="23"/>
      <c r="B16" s="23"/>
      <c r="C16" s="98" t="s">
        <v>198</v>
      </c>
      <c r="D16" s="99"/>
      <c r="E16" s="99"/>
      <c r="F16" s="99"/>
      <c r="G16" s="99"/>
      <c r="H16" s="99"/>
      <c r="I16" s="100"/>
      <c r="J16" s="101">
        <v>0.371</v>
      </c>
      <c r="K16" s="101">
        <v>0.371</v>
      </c>
      <c r="L16" s="101">
        <v>0.371</v>
      </c>
      <c r="M16" s="101">
        <v>0.371</v>
      </c>
      <c r="N16" s="101">
        <v>0.371</v>
      </c>
      <c r="O16" s="93"/>
      <c r="P16" s="80" t="s">
        <v>389</v>
      </c>
      <c r="Q16" s="81"/>
      <c r="R16" s="81"/>
      <c r="S16" s="81"/>
      <c r="T16" s="81"/>
      <c r="U16" s="81"/>
      <c r="V16" s="81"/>
      <c r="W16" s="81"/>
      <c r="X16" s="83"/>
    </row>
    <row r="17" spans="1:24" ht="14.5" x14ac:dyDescent="0.35">
      <c r="A17" s="23"/>
      <c r="B17" s="23"/>
      <c r="C17" s="84" t="s">
        <v>189</v>
      </c>
      <c r="D17" s="102">
        <f>'Income Statement'!B27</f>
        <v>586</v>
      </c>
      <c r="E17" s="102">
        <f>'Income Statement'!C27</f>
        <v>662</v>
      </c>
      <c r="F17" s="102">
        <f>'Income Statement'!D27</f>
        <v>751</v>
      </c>
      <c r="G17" s="102">
        <f>'Income Statement'!E27</f>
        <v>1009</v>
      </c>
      <c r="H17" s="102">
        <f>'Income Statement'!F27</f>
        <v>1031</v>
      </c>
      <c r="I17" s="103">
        <f>2*('Income Statement'!G27-H17) + H17</f>
        <v>1065</v>
      </c>
      <c r="J17" s="93"/>
      <c r="K17" s="93"/>
      <c r="L17" s="93"/>
      <c r="M17" s="93"/>
      <c r="N17" s="93"/>
      <c r="O17" s="93"/>
      <c r="P17" s="87" t="s">
        <v>390</v>
      </c>
      <c r="Q17" s="15"/>
      <c r="R17" s="99"/>
      <c r="S17" s="15"/>
      <c r="T17" s="15"/>
      <c r="U17" s="15"/>
      <c r="V17" s="15"/>
      <c r="W17" s="15"/>
      <c r="X17" s="88"/>
    </row>
    <row r="18" spans="1:24" ht="15" thickBot="1" x14ac:dyDescent="0.4">
      <c r="A18" s="23"/>
      <c r="B18" s="23"/>
      <c r="C18" s="89" t="s">
        <v>314</v>
      </c>
      <c r="D18" s="90">
        <f>D17/'Income Statement'!B18</f>
        <v>0.1176943161277365</v>
      </c>
      <c r="E18" s="90">
        <f>E17/'Income Statement'!C18</f>
        <v>0.12725874663590928</v>
      </c>
      <c r="F18" s="90">
        <f>F17/'Income Statement'!D18</f>
        <v>0.12442014579191518</v>
      </c>
      <c r="G18" s="90">
        <f>G17/'Income Statement'!E18</f>
        <v>0.14119787293590821</v>
      </c>
      <c r="H18" s="90">
        <f>H17/'Income Statement'!F18</f>
        <v>0.1413878222709819</v>
      </c>
      <c r="I18" s="91">
        <f>I17/'Income Statement'!G18</f>
        <v>0.14464212956675268</v>
      </c>
      <c r="J18" s="92">
        <f>CHOOSE($D$6,J19,J20,J21)</f>
        <v>0.14464212956675268</v>
      </c>
      <c r="K18" s="92">
        <f t="shared" ref="K18" si="2">CHOOSE($D$6,K19,K20,K21)</f>
        <v>0.14264212956675268</v>
      </c>
      <c r="L18" s="92">
        <f t="shared" ref="L18" si="3">CHOOSE($D$6,L19,L20,L21)</f>
        <v>0.14064212956675268</v>
      </c>
      <c r="M18" s="92">
        <f t="shared" ref="M18" si="4">CHOOSE($D$6,M19,M20,M21)</f>
        <v>0.14099999999999999</v>
      </c>
      <c r="N18" s="92">
        <f t="shared" ref="N18" si="5">CHOOSE($D$6,N19,N20,N21)</f>
        <v>0.14099999999999999</v>
      </c>
      <c r="O18" s="104" t="s">
        <v>313</v>
      </c>
      <c r="P18" s="94" t="s">
        <v>383</v>
      </c>
      <c r="Q18" s="95"/>
      <c r="R18" s="95"/>
      <c r="S18" s="95"/>
      <c r="T18" s="95"/>
      <c r="U18" s="95"/>
      <c r="V18" s="95"/>
      <c r="W18" s="95"/>
      <c r="X18" s="97"/>
    </row>
    <row r="19" spans="1:24" ht="14.5" x14ac:dyDescent="0.35">
      <c r="A19" s="23"/>
      <c r="B19" s="23"/>
      <c r="C19" s="98" t="s">
        <v>196</v>
      </c>
      <c r="D19" s="99"/>
      <c r="E19" s="99"/>
      <c r="F19" s="99"/>
      <c r="G19" s="99"/>
      <c r="H19" s="99"/>
      <c r="I19" s="100"/>
      <c r="J19" s="101">
        <f>I18</f>
        <v>0.14464212956675268</v>
      </c>
      <c r="K19" s="101">
        <f>J19+$O$19</f>
        <v>0.14464212956675268</v>
      </c>
      <c r="L19" s="101">
        <f t="shared" ref="L19:N19" si="6">K19+$O$19</f>
        <v>0.14464212956675268</v>
      </c>
      <c r="M19" s="101">
        <f t="shared" si="6"/>
        <v>0.14464212956675268</v>
      </c>
      <c r="N19" s="101">
        <f t="shared" si="6"/>
        <v>0.14464212956675268</v>
      </c>
      <c r="O19" s="92">
        <v>0</v>
      </c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 thickBot="1" x14ac:dyDescent="0.4">
      <c r="A20" s="23"/>
      <c r="B20" s="23"/>
      <c r="C20" s="98" t="s">
        <v>197</v>
      </c>
      <c r="D20" s="99"/>
      <c r="E20" s="99"/>
      <c r="F20" s="99"/>
      <c r="G20" s="99"/>
      <c r="H20" s="99"/>
      <c r="I20" s="100"/>
      <c r="J20" s="101">
        <f>I18</f>
        <v>0.14464212956675268</v>
      </c>
      <c r="K20" s="101">
        <f>J20+$O$20</f>
        <v>0.14264212956675268</v>
      </c>
      <c r="L20" s="101">
        <f>K20+$O$20</f>
        <v>0.14064212956675268</v>
      </c>
      <c r="M20" s="101">
        <v>0.14099999999999999</v>
      </c>
      <c r="N20" s="101">
        <v>0.14099999999999999</v>
      </c>
      <c r="O20" s="92">
        <v>-2E-3</v>
      </c>
      <c r="P20" s="14" t="s">
        <v>198</v>
      </c>
      <c r="Q20" s="23"/>
      <c r="R20" s="23"/>
      <c r="S20" s="23"/>
      <c r="T20" s="23"/>
      <c r="U20" s="23"/>
      <c r="V20" s="23"/>
      <c r="W20" s="23"/>
      <c r="X20" s="23"/>
    </row>
    <row r="21" spans="1:24" ht="14.5" x14ac:dyDescent="0.35">
      <c r="A21" s="23"/>
      <c r="B21" s="23"/>
      <c r="C21" s="98" t="s">
        <v>198</v>
      </c>
      <c r="D21" s="99"/>
      <c r="E21" s="99"/>
      <c r="F21" s="99"/>
      <c r="G21" s="99"/>
      <c r="H21" s="99"/>
      <c r="I21" s="100"/>
      <c r="J21" s="101">
        <f>I18</f>
        <v>0.14464212956675268</v>
      </c>
      <c r="K21" s="101">
        <f>J21+$O$21</f>
        <v>0.14664212956675268</v>
      </c>
      <c r="L21" s="101">
        <f t="shared" ref="L21:N21" si="7">K21+$O$21</f>
        <v>0.14864212956675268</v>
      </c>
      <c r="M21" s="101">
        <f t="shared" si="7"/>
        <v>0.15064212956675269</v>
      </c>
      <c r="N21" s="101">
        <f t="shared" si="7"/>
        <v>0.15264212956675269</v>
      </c>
      <c r="O21" s="92">
        <v>2E-3</v>
      </c>
      <c r="P21" s="80" t="s">
        <v>384</v>
      </c>
      <c r="Q21" s="82"/>
      <c r="R21" s="82"/>
      <c r="S21" s="82"/>
      <c r="T21" s="82"/>
      <c r="U21" s="82"/>
      <c r="V21" s="82"/>
      <c r="W21" s="82"/>
      <c r="X21" s="83"/>
    </row>
    <row r="22" spans="1:24" ht="14.5" x14ac:dyDescent="0.35">
      <c r="A22" s="23"/>
      <c r="B22" s="23"/>
      <c r="C22" s="84" t="s">
        <v>190</v>
      </c>
      <c r="D22" s="102">
        <f>'Cash Flow'!B35</f>
        <v>-134</v>
      </c>
      <c r="E22" s="102">
        <f>'Cash Flow'!C35</f>
        <v>-153</v>
      </c>
      <c r="F22" s="102">
        <f>'Cash Flow'!D35</f>
        <v>-207</v>
      </c>
      <c r="G22" s="102">
        <f>'Cash Flow'!E35</f>
        <v>-179</v>
      </c>
      <c r="H22" s="102">
        <f>'Cash Flow'!F35</f>
        <v>-225</v>
      </c>
      <c r="I22" s="103">
        <f>2*('Cash Flow'!G35-H22)+H22</f>
        <v>-207</v>
      </c>
      <c r="J22" s="93"/>
      <c r="K22" s="93"/>
      <c r="L22" s="93"/>
      <c r="M22" s="93"/>
      <c r="N22" s="93"/>
      <c r="O22" s="92"/>
      <c r="P22" s="87" t="s">
        <v>385</v>
      </c>
      <c r="Q22" s="23"/>
      <c r="R22" s="23"/>
      <c r="S22" s="23"/>
      <c r="T22" s="23"/>
      <c r="U22" s="23"/>
      <c r="V22" s="23"/>
      <c r="W22" s="23"/>
      <c r="X22" s="88"/>
    </row>
    <row r="23" spans="1:24" ht="15" thickBot="1" x14ac:dyDescent="0.4">
      <c r="A23" s="23"/>
      <c r="B23" s="23"/>
      <c r="C23" s="89" t="s">
        <v>314</v>
      </c>
      <c r="D23" s="90">
        <f>D22/'Income Statement'!B18</f>
        <v>-2.6913034745932918E-2</v>
      </c>
      <c r="E23" s="90">
        <f>E22/'Income Statement'!C18</f>
        <v>-2.9411764705882353E-2</v>
      </c>
      <c r="F23" s="90">
        <f>F22/'Income Statement'!D18</f>
        <v>-3.4294234592445329E-2</v>
      </c>
      <c r="G23" s="90">
        <f>G22/'Income Statement'!E18</f>
        <v>-2.5048978449482229E-2</v>
      </c>
      <c r="H23" s="90">
        <f>H22/'Income Statement'!F18</f>
        <v>-3.0855732309380143E-2</v>
      </c>
      <c r="I23" s="91">
        <f>I22/'Income Statement'!G18</f>
        <v>-2.8113540676354746E-2</v>
      </c>
      <c r="J23" s="92">
        <f>CHOOSE($D$6,J24,J25,J26)</f>
        <v>-3.4294234592445329E-2</v>
      </c>
      <c r="K23" s="92">
        <f t="shared" ref="K23" si="8">CHOOSE($D$6,K24,K25,K26)</f>
        <v>-3.4294234592445329E-2</v>
      </c>
      <c r="L23" s="92">
        <f t="shared" ref="L23" si="9">CHOOSE($D$6,L24,L25,L26)</f>
        <v>-3.4294234592445329E-2</v>
      </c>
      <c r="M23" s="92">
        <f t="shared" ref="M23" si="10">CHOOSE($D$6,M24,M25,M26)</f>
        <v>-3.4294234592445329E-2</v>
      </c>
      <c r="N23" s="92">
        <f t="shared" ref="N23" si="11">CHOOSE($D$6,N24,N25,N26)</f>
        <v>-3.4294234592445329E-2</v>
      </c>
      <c r="O23" s="93"/>
      <c r="P23" s="94" t="s">
        <v>386</v>
      </c>
      <c r="Q23" s="96"/>
      <c r="R23" s="96"/>
      <c r="S23" s="96"/>
      <c r="T23" s="96"/>
      <c r="U23" s="96"/>
      <c r="V23" s="96"/>
      <c r="W23" s="96"/>
      <c r="X23" s="97"/>
    </row>
    <row r="24" spans="1:24" ht="14.5" x14ac:dyDescent="0.35">
      <c r="A24" s="23"/>
      <c r="B24" s="23"/>
      <c r="C24" s="98" t="s">
        <v>196</v>
      </c>
      <c r="D24" s="99"/>
      <c r="E24" s="99"/>
      <c r="F24" s="99"/>
      <c r="G24" s="99"/>
      <c r="H24" s="99"/>
      <c r="I24" s="100"/>
      <c r="J24" s="101">
        <f>AVERAGE(D23:I23)</f>
        <v>-2.910621424657962E-2</v>
      </c>
      <c r="K24" s="101">
        <f t="shared" ref="K24:N24" si="12">AVERAGE(E23:J23)</f>
        <v>-3.0336414220998354E-2</v>
      </c>
      <c r="L24" s="101">
        <f t="shared" si="12"/>
        <v>-3.1150159202092183E-2</v>
      </c>
      <c r="M24" s="101">
        <f t="shared" si="12"/>
        <v>-3.1150159202092183E-2</v>
      </c>
      <c r="N24" s="101">
        <f t="shared" si="12"/>
        <v>-3.2691035225919367E-2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4.5" x14ac:dyDescent="0.35">
      <c r="A25" s="23"/>
      <c r="B25" s="23"/>
      <c r="C25" s="98" t="s">
        <v>197</v>
      </c>
      <c r="D25" s="99"/>
      <c r="E25" s="99"/>
      <c r="F25" s="99"/>
      <c r="G25" s="99"/>
      <c r="H25" s="99"/>
      <c r="I25" s="100"/>
      <c r="J25" s="101">
        <f>MIN(D23:I23)</f>
        <v>-3.4294234592445329E-2</v>
      </c>
      <c r="K25" s="101">
        <f t="shared" ref="K25:N25" si="13">MIN(E23:J23)</f>
        <v>-3.4294234592445329E-2</v>
      </c>
      <c r="L25" s="101">
        <f t="shared" si="13"/>
        <v>-3.4294234592445329E-2</v>
      </c>
      <c r="M25" s="101">
        <f t="shared" si="13"/>
        <v>-3.4294234592445329E-2</v>
      </c>
      <c r="N25" s="101">
        <f t="shared" si="13"/>
        <v>-3.4294234592445329E-2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4.5" x14ac:dyDescent="0.35">
      <c r="A26" s="23"/>
      <c r="B26" s="23"/>
      <c r="C26" s="98" t="s">
        <v>198</v>
      </c>
      <c r="D26" s="15"/>
      <c r="E26" s="15"/>
      <c r="F26" s="15"/>
      <c r="G26" s="15"/>
      <c r="H26" s="15"/>
      <c r="I26" s="79"/>
      <c r="J26" s="101">
        <f>MAX(D23:I23)</f>
        <v>-2.5048978449482229E-2</v>
      </c>
      <c r="K26" s="101">
        <f t="shared" ref="K26:N26" si="14">MAX(E23:J23)</f>
        <v>-2.5048978449482229E-2</v>
      </c>
      <c r="L26" s="101">
        <f t="shared" si="14"/>
        <v>-2.5048978449482229E-2</v>
      </c>
      <c r="M26" s="101">
        <f t="shared" si="14"/>
        <v>-2.5048978449482229E-2</v>
      </c>
      <c r="N26" s="101">
        <f t="shared" si="14"/>
        <v>-2.8113540676354746E-2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4.5" x14ac:dyDescent="0.35">
      <c r="A27" s="23"/>
      <c r="B27" s="23"/>
      <c r="C27" s="98"/>
      <c r="D27" s="15"/>
      <c r="E27" s="15"/>
      <c r="F27" s="15"/>
      <c r="G27" s="15"/>
      <c r="H27" s="15"/>
      <c r="I27" s="79"/>
      <c r="J27" s="93"/>
      <c r="K27" s="93"/>
      <c r="L27" s="93"/>
      <c r="M27" s="93"/>
      <c r="N27" s="93"/>
      <c r="O27" s="9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4.5" x14ac:dyDescent="0.35">
      <c r="A28" s="23"/>
      <c r="B28" s="23"/>
      <c r="C28" s="84" t="s">
        <v>317</v>
      </c>
      <c r="D28" s="15"/>
      <c r="E28" s="15"/>
      <c r="F28" s="15"/>
      <c r="G28" s="15"/>
      <c r="H28" s="15"/>
      <c r="I28" s="79"/>
      <c r="J28" s="93"/>
      <c r="K28" s="93"/>
      <c r="L28" s="93"/>
      <c r="M28" s="93"/>
      <c r="N28" s="93"/>
      <c r="O28" s="9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4.5" x14ac:dyDescent="0.35">
      <c r="A29" s="23"/>
      <c r="B29" s="23"/>
      <c r="C29" s="105" t="s">
        <v>318</v>
      </c>
      <c r="D29" s="106">
        <f>'Income Statement'!B18</f>
        <v>4979</v>
      </c>
      <c r="E29" s="106">
        <f>'Income Statement'!C18</f>
        <v>5202</v>
      </c>
      <c r="F29" s="106">
        <f>'Income Statement'!D18</f>
        <v>6036</v>
      </c>
      <c r="G29" s="106">
        <f>'Income Statement'!E18</f>
        <v>7146</v>
      </c>
      <c r="H29" s="106">
        <f>'Income Statement'!F18</f>
        <v>7292</v>
      </c>
      <c r="I29" s="107">
        <f>'Income Statement'!G18</f>
        <v>7363</v>
      </c>
      <c r="J29" s="93"/>
      <c r="K29" s="93"/>
      <c r="L29" s="93"/>
      <c r="M29" s="93"/>
      <c r="N29" s="93"/>
      <c r="O29" s="9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4.5" x14ac:dyDescent="0.35">
      <c r="A30" s="23"/>
      <c r="B30" s="23"/>
      <c r="C30" s="15"/>
      <c r="D30" s="15"/>
      <c r="E30" s="15"/>
      <c r="F30" s="15"/>
      <c r="G30" s="15"/>
      <c r="H30" s="15"/>
      <c r="I30" s="79"/>
      <c r="J30" s="93"/>
      <c r="K30" s="93"/>
      <c r="L30" s="93"/>
      <c r="M30" s="93"/>
      <c r="N30" s="93"/>
      <c r="O30" s="9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4.5" x14ac:dyDescent="0.35">
      <c r="A31" s="23"/>
      <c r="B31" s="23"/>
      <c r="C31" s="14" t="s">
        <v>319</v>
      </c>
      <c r="D31" s="108">
        <v>4573</v>
      </c>
      <c r="E31" s="108">
        <v>4652</v>
      </c>
      <c r="F31" s="108">
        <v>5839</v>
      </c>
      <c r="G31" s="108">
        <v>5878</v>
      </c>
      <c r="H31" s="108">
        <v>6415</v>
      </c>
      <c r="I31" s="109">
        <f>H31*(1+I32)</f>
        <v>7056.5000000000009</v>
      </c>
      <c r="J31" s="93"/>
      <c r="K31" s="93"/>
      <c r="L31" s="93"/>
      <c r="M31" s="93"/>
      <c r="N31" s="93"/>
      <c r="O31" s="9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4.5" x14ac:dyDescent="0.35">
      <c r="A32" s="23"/>
      <c r="B32" s="23"/>
      <c r="C32" s="89" t="s">
        <v>315</v>
      </c>
      <c r="D32" s="110"/>
      <c r="E32" s="111">
        <f>E31/D31-1</f>
        <v>1.7275311611633537E-2</v>
      </c>
      <c r="F32" s="111">
        <f t="shared" ref="F32:H32" si="15">F31/E31-1</f>
        <v>0.25515907136715388</v>
      </c>
      <c r="G32" s="111">
        <f t="shared" si="15"/>
        <v>6.6792258948449312E-3</v>
      </c>
      <c r="H32" s="111">
        <f t="shared" si="15"/>
        <v>9.135760462742426E-2</v>
      </c>
      <c r="I32" s="112">
        <v>0.1</v>
      </c>
      <c r="J32" s="92">
        <f>CHOOSE($D$6,J33,J34,J35)</f>
        <v>8.5000000000000006E-2</v>
      </c>
      <c r="K32" s="92">
        <f t="shared" ref="K32" si="16">CHOOSE($D$6,K33,K34,K35)</f>
        <v>8.5000000000000006E-2</v>
      </c>
      <c r="L32" s="92">
        <f t="shared" ref="L32" si="17">CHOOSE($D$6,L33,L34,L35)</f>
        <v>8.5000000000000006E-2</v>
      </c>
      <c r="M32" s="92">
        <f t="shared" ref="M32" si="18">CHOOSE($D$6,M33,M34,M35)</f>
        <v>8.5000000000000006E-2</v>
      </c>
      <c r="N32" s="92">
        <f t="shared" ref="N32" si="19">CHOOSE($D$6,N33,N34,N35)</f>
        <v>8.5000000000000006E-2</v>
      </c>
      <c r="O32" s="92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4.5" x14ac:dyDescent="0.35">
      <c r="A33" s="23"/>
      <c r="B33" s="23"/>
      <c r="C33" s="98" t="s">
        <v>196</v>
      </c>
      <c r="D33" s="113"/>
      <c r="E33" s="113"/>
      <c r="F33" s="113"/>
      <c r="G33" s="113"/>
      <c r="H33" s="113"/>
      <c r="I33" s="114"/>
      <c r="J33" s="101">
        <v>6.5000000000000002E-2</v>
      </c>
      <c r="K33" s="101">
        <v>6.5000000000000002E-2</v>
      </c>
      <c r="L33" s="101">
        <v>6.5000000000000002E-2</v>
      </c>
      <c r="M33" s="101">
        <v>6.5000000000000002E-2</v>
      </c>
      <c r="N33" s="101">
        <v>6.5000000000000002E-2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4.5" x14ac:dyDescent="0.35">
      <c r="A34" s="23"/>
      <c r="B34" s="23"/>
      <c r="C34" s="98" t="s">
        <v>197</v>
      </c>
      <c r="D34" s="113"/>
      <c r="E34" s="113"/>
      <c r="F34" s="113"/>
      <c r="G34" s="113"/>
      <c r="H34" s="113"/>
      <c r="I34" s="114"/>
      <c r="J34" s="101">
        <v>8.5000000000000006E-2</v>
      </c>
      <c r="K34" s="101">
        <v>8.5000000000000006E-2</v>
      </c>
      <c r="L34" s="101">
        <v>8.5000000000000006E-2</v>
      </c>
      <c r="M34" s="101">
        <v>8.5000000000000006E-2</v>
      </c>
      <c r="N34" s="101">
        <v>8.5000000000000006E-2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4.5" x14ac:dyDescent="0.35">
      <c r="A35" s="23"/>
      <c r="B35" s="23"/>
      <c r="C35" s="98" t="s">
        <v>198</v>
      </c>
      <c r="D35" s="113"/>
      <c r="E35" s="113"/>
      <c r="F35" s="113"/>
      <c r="G35" s="113"/>
      <c r="H35" s="113"/>
      <c r="I35" s="114"/>
      <c r="J35" s="101">
        <v>2.5000000000000001E-2</v>
      </c>
      <c r="K35" s="101">
        <v>2.5000000000000001E-2</v>
      </c>
      <c r="L35" s="101">
        <v>2.5000000000000001E-2</v>
      </c>
      <c r="M35" s="101">
        <v>2.5000000000000001E-2</v>
      </c>
      <c r="N35" s="101">
        <v>2.5000000000000001E-2</v>
      </c>
      <c r="O35" s="93"/>
      <c r="P35" s="115"/>
      <c r="Q35" s="23"/>
      <c r="R35" s="23"/>
      <c r="S35" s="23"/>
      <c r="T35" s="23"/>
      <c r="U35" s="23"/>
      <c r="V35" s="23"/>
      <c r="W35" s="23"/>
      <c r="X35" s="23"/>
    </row>
    <row r="36" spans="1:24" ht="14.5" x14ac:dyDescent="0.35">
      <c r="A36" s="23"/>
      <c r="B36" s="23"/>
      <c r="C36" s="15"/>
      <c r="D36" s="113"/>
      <c r="E36" s="113"/>
      <c r="F36" s="113"/>
      <c r="G36" s="113"/>
      <c r="H36" s="113"/>
      <c r="I36" s="114"/>
      <c r="J36" s="92"/>
      <c r="K36" s="92"/>
      <c r="L36" s="92"/>
      <c r="M36" s="92"/>
      <c r="N36" s="92"/>
      <c r="O36" s="9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4.5" x14ac:dyDescent="0.35">
      <c r="A37" s="23"/>
      <c r="B37" s="23"/>
      <c r="C37" s="14" t="s">
        <v>247</v>
      </c>
      <c r="D37" s="108">
        <v>1681</v>
      </c>
      <c r="E37" s="108">
        <v>1756</v>
      </c>
      <c r="F37" s="108">
        <v>1810</v>
      </c>
      <c r="G37" s="108">
        <v>1883</v>
      </c>
      <c r="H37" s="108">
        <v>2092</v>
      </c>
      <c r="I37" s="109">
        <f>H37*(1+I38)</f>
        <v>2301.2000000000003</v>
      </c>
      <c r="J37" s="93"/>
      <c r="K37" s="93"/>
      <c r="L37" s="93"/>
      <c r="M37" s="93"/>
      <c r="N37" s="93"/>
      <c r="O37" s="9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4.5" x14ac:dyDescent="0.35">
      <c r="A38" s="23"/>
      <c r="B38" s="23"/>
      <c r="C38" s="89" t="s">
        <v>315</v>
      </c>
      <c r="D38" s="110"/>
      <c r="E38" s="111">
        <f>E37/D37-1</f>
        <v>4.46162998215347E-2</v>
      </c>
      <c r="F38" s="111">
        <f t="shared" ref="F38" si="20">F37/E37-1</f>
        <v>3.0751708428246038E-2</v>
      </c>
      <c r="G38" s="111">
        <f t="shared" ref="G38" si="21">G37/F37-1</f>
        <v>4.0331491712707113E-2</v>
      </c>
      <c r="H38" s="111">
        <f t="shared" ref="H38" si="22">H37/G37-1</f>
        <v>0.11099309612320774</v>
      </c>
      <c r="I38" s="112">
        <v>0.1</v>
      </c>
      <c r="J38" s="92">
        <f>CHOOSE($D$6,J39,J40,J41)</f>
        <v>7.4999999999999997E-2</v>
      </c>
      <c r="K38" s="92">
        <f t="shared" ref="K38" si="23">CHOOSE($D$6,K39,K40,K41)</f>
        <v>7.4999999999999997E-2</v>
      </c>
      <c r="L38" s="92">
        <f t="shared" ref="L38" si="24">CHOOSE($D$6,L39,L40,L41)</f>
        <v>7.4999999999999997E-2</v>
      </c>
      <c r="M38" s="92">
        <f t="shared" ref="M38" si="25">CHOOSE($D$6,M39,M40,M41)</f>
        <v>7.4999999999999997E-2</v>
      </c>
      <c r="N38" s="92">
        <f t="shared" ref="N38" si="26">CHOOSE($D$6,N39,N40,N41)</f>
        <v>7.4999999999999997E-2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4.5" x14ac:dyDescent="0.35">
      <c r="A39" s="23"/>
      <c r="B39" s="23"/>
      <c r="C39" s="98" t="s">
        <v>196</v>
      </c>
      <c r="D39" s="113"/>
      <c r="E39" s="113"/>
      <c r="F39" s="113"/>
      <c r="G39" s="113"/>
      <c r="H39" s="113"/>
      <c r="I39" s="114"/>
      <c r="J39" s="101">
        <v>7.1999999999999995E-2</v>
      </c>
      <c r="K39" s="101">
        <v>7.1999999999999995E-2</v>
      </c>
      <c r="L39" s="101">
        <v>7.1999999999999995E-2</v>
      </c>
      <c r="M39" s="101">
        <v>7.1999999999999995E-2</v>
      </c>
      <c r="N39" s="101">
        <v>7.1999999999999995E-2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4.5" x14ac:dyDescent="0.35">
      <c r="A40" s="23"/>
      <c r="B40" s="23"/>
      <c r="C40" s="98" t="s">
        <v>197</v>
      </c>
      <c r="D40" s="113"/>
      <c r="E40" s="113"/>
      <c r="F40" s="113"/>
      <c r="G40" s="113"/>
      <c r="H40" s="113"/>
      <c r="I40" s="114"/>
      <c r="J40" s="101">
        <v>7.4999999999999997E-2</v>
      </c>
      <c r="K40" s="101">
        <v>7.4999999999999997E-2</v>
      </c>
      <c r="L40" s="101">
        <v>7.4999999999999997E-2</v>
      </c>
      <c r="M40" s="101">
        <v>7.4999999999999997E-2</v>
      </c>
      <c r="N40" s="101">
        <v>7.4999999999999997E-2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4.5" x14ac:dyDescent="0.35">
      <c r="A41" s="23"/>
      <c r="B41" s="23"/>
      <c r="C41" s="98" t="s">
        <v>198</v>
      </c>
      <c r="D41" s="113"/>
      <c r="E41" s="113"/>
      <c r="F41" s="113"/>
      <c r="G41" s="113"/>
      <c r="H41" s="113"/>
      <c r="I41" s="114"/>
      <c r="J41" s="101">
        <v>0.06</v>
      </c>
      <c r="K41" s="101">
        <v>0.06</v>
      </c>
      <c r="L41" s="101">
        <v>0.06</v>
      </c>
      <c r="M41" s="101">
        <v>0.06</v>
      </c>
      <c r="N41" s="101">
        <v>0.06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4.5" x14ac:dyDescent="0.35">
      <c r="A42" s="23"/>
      <c r="B42" s="23"/>
      <c r="C42" s="116" t="s">
        <v>249</v>
      </c>
      <c r="D42" s="108">
        <v>22</v>
      </c>
      <c r="E42" s="108">
        <v>139</v>
      </c>
      <c r="F42" s="108">
        <v>595</v>
      </c>
      <c r="G42" s="108">
        <v>1407</v>
      </c>
      <c r="H42" s="108">
        <v>1129</v>
      </c>
      <c r="I42" s="109">
        <f>H42*(1+I43)</f>
        <v>1241.9000000000001</v>
      </c>
      <c r="J42" s="93"/>
      <c r="K42" s="93"/>
      <c r="L42" s="93"/>
      <c r="M42" s="93"/>
      <c r="N42" s="93"/>
      <c r="O42" s="9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5" thickBot="1" x14ac:dyDescent="0.4">
      <c r="A43" s="23"/>
      <c r="B43" s="23"/>
      <c r="C43" s="89" t="s">
        <v>315</v>
      </c>
      <c r="D43" s="110"/>
      <c r="E43" s="111">
        <f>E42/D42-1</f>
        <v>5.3181818181818183</v>
      </c>
      <c r="F43" s="111">
        <f t="shared" ref="F43" si="27">F42/E42-1</f>
        <v>3.2805755395683454</v>
      </c>
      <c r="G43" s="111">
        <f t="shared" ref="G43" si="28">G42/F42-1</f>
        <v>1.3647058823529412</v>
      </c>
      <c r="H43" s="111">
        <f t="shared" ref="H43" si="29">H42/G42-1</f>
        <v>-0.19758351101634686</v>
      </c>
      <c r="I43" s="112">
        <v>0.1</v>
      </c>
      <c r="J43" s="92">
        <f>CHOOSE($D$6,J44,J45,J46)</f>
        <v>0.17</v>
      </c>
      <c r="K43" s="92">
        <f t="shared" ref="K43" si="30">CHOOSE($D$6,K44,K45,K46)</f>
        <v>0.08</v>
      </c>
      <c r="L43" s="92">
        <f t="shared" ref="L43" si="31">CHOOSE($D$6,L44,L45,L46)</f>
        <v>0.1</v>
      </c>
      <c r="M43" s="92">
        <f t="shared" ref="M43" si="32">CHOOSE($D$6,M44,M45,M46)</f>
        <v>0.11</v>
      </c>
      <c r="N43" s="92">
        <f t="shared" ref="N43" si="33">CHOOSE($D$6,N44,N45,N46)</f>
        <v>0.12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4.5" x14ac:dyDescent="0.35">
      <c r="A44" s="23"/>
      <c r="B44" s="23"/>
      <c r="C44" s="98" t="s">
        <v>196</v>
      </c>
      <c r="D44" s="117"/>
      <c r="E44" s="117"/>
      <c r="F44" s="117"/>
      <c r="G44" s="113"/>
      <c r="H44" s="113"/>
      <c r="I44" s="79"/>
      <c r="J44" s="101">
        <v>0.15</v>
      </c>
      <c r="K44" s="101">
        <v>0.06</v>
      </c>
      <c r="L44" s="101">
        <v>7.0000000000000007E-2</v>
      </c>
      <c r="M44" s="101">
        <v>0.08</v>
      </c>
      <c r="N44" s="101">
        <v>0.09</v>
      </c>
      <c r="O44" s="93"/>
      <c r="P44" s="80" t="s">
        <v>381</v>
      </c>
      <c r="Q44" s="81"/>
      <c r="R44" s="81"/>
      <c r="S44" s="81"/>
      <c r="T44" s="81"/>
      <c r="U44" s="82"/>
      <c r="V44" s="83"/>
      <c r="W44" s="23"/>
      <c r="X44" s="23"/>
    </row>
    <row r="45" spans="1:24" ht="14.5" x14ac:dyDescent="0.35">
      <c r="A45" s="23"/>
      <c r="B45" s="23"/>
      <c r="C45" s="98" t="s">
        <v>197</v>
      </c>
      <c r="D45" s="117"/>
      <c r="E45" s="117"/>
      <c r="F45" s="117"/>
      <c r="G45" s="113"/>
      <c r="H45" s="113"/>
      <c r="I45" s="79"/>
      <c r="J45" s="101">
        <v>0.17</v>
      </c>
      <c r="K45" s="101">
        <v>0.08</v>
      </c>
      <c r="L45" s="101">
        <v>0.1</v>
      </c>
      <c r="M45" s="101">
        <v>0.11</v>
      </c>
      <c r="N45" s="101">
        <v>0.12</v>
      </c>
      <c r="O45" s="93"/>
      <c r="P45" s="118"/>
      <c r="Q45" s="23"/>
      <c r="R45" s="23"/>
      <c r="S45" s="23"/>
      <c r="T45" s="23"/>
      <c r="U45" s="23"/>
      <c r="V45" s="88"/>
      <c r="W45" s="23"/>
      <c r="X45" s="23"/>
    </row>
    <row r="46" spans="1:24" ht="15" thickBot="1" x14ac:dyDescent="0.4">
      <c r="A46" s="23"/>
      <c r="B46" s="23"/>
      <c r="C46" s="98" t="s">
        <v>198</v>
      </c>
      <c r="D46" s="117"/>
      <c r="E46" s="117"/>
      <c r="F46" s="117"/>
      <c r="G46" s="113"/>
      <c r="H46" s="113"/>
      <c r="I46" s="79"/>
      <c r="J46" s="101">
        <v>9.5000000000000001E-2</v>
      </c>
      <c r="K46" s="101">
        <v>1.4999999999999999E-2</v>
      </c>
      <c r="L46" s="101">
        <v>1.4999999999999999E-2</v>
      </c>
      <c r="M46" s="101">
        <v>1.4999999999999999E-2</v>
      </c>
      <c r="N46" s="101">
        <v>1.4999999999999999E-2</v>
      </c>
      <c r="O46" s="93"/>
      <c r="P46" s="119"/>
      <c r="Q46" s="96"/>
      <c r="R46" s="96"/>
      <c r="S46" s="96"/>
      <c r="T46" s="96"/>
      <c r="U46" s="96"/>
      <c r="V46" s="97"/>
      <c r="W46" s="23"/>
      <c r="X46" s="23"/>
    </row>
    <row r="47" spans="1:24" ht="14.5" x14ac:dyDescent="0.35">
      <c r="A47" s="23"/>
      <c r="B47" s="23"/>
      <c r="C47" s="116" t="s">
        <v>250</v>
      </c>
      <c r="D47" s="108">
        <v>-357</v>
      </c>
      <c r="E47" s="108">
        <v>-379</v>
      </c>
      <c r="F47" s="108">
        <v>-622</v>
      </c>
      <c r="G47" s="108">
        <v>-248</v>
      </c>
      <c r="H47" s="108">
        <v>-499</v>
      </c>
      <c r="I47" s="109">
        <f>H47*(1+I49)</f>
        <v>-548.90000000000009</v>
      </c>
      <c r="J47" s="93"/>
      <c r="K47" s="93"/>
      <c r="L47" s="93"/>
      <c r="M47" s="93"/>
      <c r="N47" s="93"/>
      <c r="O47" s="9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4.5" x14ac:dyDescent="0.35">
      <c r="A48" s="23"/>
      <c r="B48" s="23"/>
      <c r="C48" s="89" t="s">
        <v>315</v>
      </c>
      <c r="D48" s="110"/>
      <c r="E48" s="111">
        <f>E47/D47-1</f>
        <v>6.1624649859943981E-2</v>
      </c>
      <c r="F48" s="111">
        <f t="shared" ref="F48" si="34">F47/E47-1</f>
        <v>0.64116094986807393</v>
      </c>
      <c r="G48" s="111">
        <f t="shared" ref="G48" si="35">G47/F47-1</f>
        <v>-0.6012861736334405</v>
      </c>
      <c r="H48" s="111">
        <f>H47/G47-1</f>
        <v>1.0120967741935485</v>
      </c>
      <c r="I48" s="120">
        <f>I47/H47-1</f>
        <v>0.10000000000000009</v>
      </c>
      <c r="J48" s="93"/>
      <c r="K48" s="93"/>
      <c r="L48" s="93"/>
      <c r="M48" s="93"/>
      <c r="N48" s="93"/>
      <c r="O48" s="9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4.5" x14ac:dyDescent="0.35">
      <c r="A49" s="23"/>
      <c r="B49" s="23"/>
      <c r="C49" s="89" t="s">
        <v>316</v>
      </c>
      <c r="D49" s="110"/>
      <c r="E49" s="111">
        <f>E47/E31</f>
        <v>-8.1470335339638864E-2</v>
      </c>
      <c r="F49" s="111">
        <f t="shared" ref="F49:H49" si="36">F47/F31</f>
        <v>-0.10652508991265627</v>
      </c>
      <c r="G49" s="111">
        <f t="shared" si="36"/>
        <v>-4.2191221503912898E-2</v>
      </c>
      <c r="H49" s="111">
        <f t="shared" si="36"/>
        <v>-7.7786438035853472E-2</v>
      </c>
      <c r="I49" s="112">
        <v>0.1</v>
      </c>
      <c r="J49" s="92">
        <f>CHOOSE($D$6,J50,J51,J52)</f>
        <v>-6.7000000000000004E-2</v>
      </c>
      <c r="K49" s="92">
        <f t="shared" ref="K49" si="37">CHOOSE($D$6,K50,K51,K52)</f>
        <v>-6.7000000000000004E-2</v>
      </c>
      <c r="L49" s="92">
        <f t="shared" ref="L49" si="38">CHOOSE($D$6,L50,L51,L52)</f>
        <v>-6.7000000000000004E-2</v>
      </c>
      <c r="M49" s="92">
        <f t="shared" ref="M49" si="39">CHOOSE($D$6,M50,M51,M52)</f>
        <v>-6.7000000000000004E-2</v>
      </c>
      <c r="N49" s="92">
        <f t="shared" ref="N49" si="40">CHOOSE($D$6,N50,N51,N52)</f>
        <v>-6.7000000000000004E-2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4.5" x14ac:dyDescent="0.35">
      <c r="A50" s="23"/>
      <c r="B50" s="23"/>
      <c r="C50" s="98" t="s">
        <v>196</v>
      </c>
      <c r="D50" s="117"/>
      <c r="E50" s="117"/>
      <c r="F50" s="117"/>
      <c r="G50" s="117"/>
      <c r="H50" s="117"/>
      <c r="I50" s="114"/>
      <c r="J50" s="101">
        <v>-7.0000000000000007E-2</v>
      </c>
      <c r="K50" s="101">
        <v>-7.0000000000000007E-2</v>
      </c>
      <c r="L50" s="101">
        <v>-7.0000000000000007E-2</v>
      </c>
      <c r="M50" s="101">
        <v>-7.0000000000000007E-2</v>
      </c>
      <c r="N50" s="101">
        <v>-7.0000000000000007E-2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4.5" x14ac:dyDescent="0.35">
      <c r="A51" s="23"/>
      <c r="B51" s="23"/>
      <c r="C51" s="98" t="s">
        <v>197</v>
      </c>
      <c r="D51" s="117"/>
      <c r="E51" s="117"/>
      <c r="F51" s="117"/>
      <c r="G51" s="117"/>
      <c r="H51" s="117"/>
      <c r="I51" s="114"/>
      <c r="J51" s="101">
        <v>-6.7000000000000004E-2</v>
      </c>
      <c r="K51" s="101">
        <v>-6.7000000000000004E-2</v>
      </c>
      <c r="L51" s="101">
        <v>-6.7000000000000004E-2</v>
      </c>
      <c r="M51" s="101">
        <v>-6.7000000000000004E-2</v>
      </c>
      <c r="N51" s="101">
        <v>-6.7000000000000004E-2</v>
      </c>
      <c r="O51" s="9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4.5" x14ac:dyDescent="0.35">
      <c r="A52" s="23"/>
      <c r="B52" s="23"/>
      <c r="C52" s="98" t="s">
        <v>198</v>
      </c>
      <c r="D52" s="117"/>
      <c r="E52" s="117"/>
      <c r="F52" s="117"/>
      <c r="G52" s="117"/>
      <c r="H52" s="117"/>
      <c r="I52" s="114"/>
      <c r="J52" s="101">
        <v>-0.113</v>
      </c>
      <c r="K52" s="101">
        <v>-0.113</v>
      </c>
      <c r="L52" s="101">
        <v>-0.113</v>
      </c>
      <c r="M52" s="101">
        <v>-0.113</v>
      </c>
      <c r="N52" s="101">
        <v>-0.113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4.5" x14ac:dyDescent="0.35">
      <c r="A53" s="23"/>
      <c r="B53" s="23"/>
      <c r="C53" s="116" t="s">
        <v>251</v>
      </c>
      <c r="D53" s="108">
        <v>-940</v>
      </c>
      <c r="E53" s="108">
        <v>-966</v>
      </c>
      <c r="F53" s="108">
        <v>-1586</v>
      </c>
      <c r="G53" s="108">
        <v>-1774</v>
      </c>
      <c r="H53" s="108">
        <v>-1845</v>
      </c>
      <c r="I53" s="109">
        <f>H53*(1+I54)</f>
        <v>-2029.5000000000002</v>
      </c>
      <c r="J53" s="93"/>
      <c r="K53" s="93"/>
      <c r="L53" s="93"/>
      <c r="M53" s="93"/>
      <c r="N53" s="93"/>
      <c r="O53" s="9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4.5" x14ac:dyDescent="0.35">
      <c r="A54" s="23"/>
      <c r="B54" s="23"/>
      <c r="C54" s="89" t="s">
        <v>315</v>
      </c>
      <c r="D54" s="90"/>
      <c r="E54" s="111">
        <f>E53/D53-1</f>
        <v>2.7659574468085202E-2</v>
      </c>
      <c r="F54" s="111">
        <f t="shared" ref="F54" si="41">F53/E53-1</f>
        <v>0.64182194616977228</v>
      </c>
      <c r="G54" s="111">
        <f t="shared" ref="G54" si="42">G53/F53-1</f>
        <v>0.11853720050441363</v>
      </c>
      <c r="H54" s="111">
        <f t="shared" ref="H54" si="43">H53/G53-1</f>
        <v>4.0022547914317919E-2</v>
      </c>
      <c r="I54" s="112">
        <v>0.1</v>
      </c>
      <c r="J54" s="92">
        <f>CHOOSE($D$6,J56,J57,J58)</f>
        <v>8.5000000000000006E-2</v>
      </c>
      <c r="K54" s="92">
        <f t="shared" ref="K54" si="44">CHOOSE($D$6,K56,K57,K58)</f>
        <v>8.5000000000000006E-2</v>
      </c>
      <c r="L54" s="92">
        <f t="shared" ref="L54" si="45">CHOOSE($D$6,L56,L57,L58)</f>
        <v>8.5000000000000006E-2</v>
      </c>
      <c r="M54" s="92">
        <f t="shared" ref="M54" si="46">CHOOSE($D$6,M56,M57,M58)</f>
        <v>8.5000000000000006E-2</v>
      </c>
      <c r="N54" s="92">
        <f t="shared" ref="N54" si="47">CHOOSE($D$6,N56,N57,N58)</f>
        <v>8.5000000000000006E-2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4.5" x14ac:dyDescent="0.35">
      <c r="A55" s="23"/>
      <c r="B55" s="23"/>
      <c r="C55" s="89" t="s">
        <v>314</v>
      </c>
      <c r="D55" s="90"/>
      <c r="E55" s="111">
        <f>E53/E31</f>
        <v>-0.20765262252794497</v>
      </c>
      <c r="F55" s="111">
        <f t="shared" ref="F55:I55" si="48">F53/F31</f>
        <v>-0.27162185305703029</v>
      </c>
      <c r="G55" s="111">
        <f t="shared" si="48"/>
        <v>-0.30180333446750596</v>
      </c>
      <c r="H55" s="111">
        <f t="shared" si="48"/>
        <v>-0.28760717069368669</v>
      </c>
      <c r="I55" s="120">
        <f t="shared" si="48"/>
        <v>-0.28760717069368669</v>
      </c>
      <c r="J55" s="92"/>
      <c r="K55" s="92"/>
      <c r="L55" s="92"/>
      <c r="M55" s="92"/>
      <c r="N55" s="92"/>
      <c r="O55" s="9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4.5" x14ac:dyDescent="0.35">
      <c r="A56" s="23"/>
      <c r="B56" s="23"/>
      <c r="C56" s="98" t="s">
        <v>196</v>
      </c>
      <c r="D56" s="15"/>
      <c r="E56" s="15"/>
      <c r="F56" s="15"/>
      <c r="G56" s="15"/>
      <c r="H56" s="15"/>
      <c r="I56" s="79"/>
      <c r="J56" s="101">
        <v>6.5000000000000002E-2</v>
      </c>
      <c r="K56" s="101">
        <v>6.5000000000000002E-2</v>
      </c>
      <c r="L56" s="101">
        <v>6.5000000000000002E-2</v>
      </c>
      <c r="M56" s="101">
        <v>6.5000000000000002E-2</v>
      </c>
      <c r="N56" s="101">
        <v>6.5000000000000002E-2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4.5" x14ac:dyDescent="0.35">
      <c r="A57" s="23"/>
      <c r="B57" s="23"/>
      <c r="C57" s="98" t="s">
        <v>197</v>
      </c>
      <c r="D57" s="121"/>
      <c r="E57" s="15"/>
      <c r="F57" s="15"/>
      <c r="G57" s="15"/>
      <c r="H57" s="15"/>
      <c r="I57" s="79"/>
      <c r="J57" s="101">
        <v>8.5000000000000006E-2</v>
      </c>
      <c r="K57" s="101">
        <v>8.5000000000000006E-2</v>
      </c>
      <c r="L57" s="101">
        <v>8.5000000000000006E-2</v>
      </c>
      <c r="M57" s="101">
        <v>8.5000000000000006E-2</v>
      </c>
      <c r="N57" s="101">
        <v>8.5000000000000006E-2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4.5" x14ac:dyDescent="0.35">
      <c r="A58" s="23"/>
      <c r="B58" s="23"/>
      <c r="C58" s="98" t="s">
        <v>198</v>
      </c>
      <c r="D58" s="15"/>
      <c r="E58" s="15"/>
      <c r="F58" s="15"/>
      <c r="G58" s="15"/>
      <c r="H58" s="15"/>
      <c r="I58" s="79"/>
      <c r="J58" s="101">
        <v>3.5000000000000003E-2</v>
      </c>
      <c r="K58" s="101">
        <v>3.5000000000000003E-2</v>
      </c>
      <c r="L58" s="101">
        <v>3.5000000000000003E-2</v>
      </c>
      <c r="M58" s="101">
        <v>3.5000000000000003E-2</v>
      </c>
      <c r="N58" s="101">
        <v>3.5000000000000003E-2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4.5" x14ac:dyDescent="0.3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24" ht="14.5" x14ac:dyDescent="0.3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24" ht="14.5" x14ac:dyDescent="0.3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24" ht="14.5" x14ac:dyDescent="0.3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24" ht="14.5" x14ac:dyDescent="0.3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24" ht="14.5" x14ac:dyDescent="0.3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ht="14.5" x14ac:dyDescent="0.3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.5" x14ac:dyDescent="0.3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14.5" x14ac:dyDescent="0.3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ht="14.5" x14ac:dyDescent="0.3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ht="14.5" x14ac:dyDescent="0.3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ht="14.5" x14ac:dyDescent="0.3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ht="14.5" x14ac:dyDescent="0.3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ht="14.5" x14ac:dyDescent="0.3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ht="14.5" x14ac:dyDescent="0.3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ht="14.5" x14ac:dyDescent="0.3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ht="14.5" x14ac:dyDescent="0.3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ht="14.5" x14ac:dyDescent="0.3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ht="14.5" x14ac:dyDescent="0.3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ht="14.5" x14ac:dyDescent="0.3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ht="14.5" x14ac:dyDescent="0.3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4.5" x14ac:dyDescent="0.3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4.5" x14ac:dyDescent="0.3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ht="14.5" x14ac:dyDescent="0.3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ht="14.5" x14ac:dyDescent="0.3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ht="14.5" x14ac:dyDescent="0.3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ht="14.5" x14ac:dyDescent="0.3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</sheetData>
  <mergeCells count="2">
    <mergeCell ref="D8:I8"/>
    <mergeCell ref="J8:N8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5"/>
  <sheetViews>
    <sheetView showGridLines="0" topLeftCell="B1" workbookViewId="0">
      <selection activeCell="R25" sqref="R25"/>
    </sheetView>
  </sheetViews>
  <sheetFormatPr defaultRowHeight="10" x14ac:dyDescent="0.2"/>
  <cols>
    <col min="2" max="2" width="41" bestFit="1" customWidth="1"/>
    <col min="3" max="13" width="12.54296875" customWidth="1"/>
  </cols>
  <sheetData>
    <row r="1" spans="2:15" ht="10.5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5" ht="14.5" x14ac:dyDescent="0.35">
      <c r="B2" s="67" t="s">
        <v>323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  <c r="O2" s="11"/>
    </row>
    <row r="3" spans="2:15" ht="14.5" x14ac:dyDescent="0.35">
      <c r="B3" s="12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1"/>
    </row>
    <row r="4" spans="2:15" ht="14.5" x14ac:dyDescent="0.35">
      <c r="B4" s="15"/>
      <c r="C4" s="259" t="s">
        <v>320</v>
      </c>
      <c r="D4" s="260"/>
      <c r="E4" s="260"/>
      <c r="F4" s="260"/>
      <c r="G4" s="260"/>
      <c r="H4" s="260"/>
      <c r="I4" s="261" t="s">
        <v>321</v>
      </c>
      <c r="J4" s="261"/>
      <c r="K4" s="261"/>
      <c r="L4" s="261"/>
      <c r="M4" s="261"/>
      <c r="N4" s="15"/>
      <c r="O4" s="11"/>
    </row>
    <row r="5" spans="2:15" ht="15" thickBot="1" x14ac:dyDescent="0.4">
      <c r="B5" s="15"/>
      <c r="C5" s="123" t="s">
        <v>286</v>
      </c>
      <c r="D5" s="123" t="s">
        <v>287</v>
      </c>
      <c r="E5" s="123" t="s">
        <v>288</v>
      </c>
      <c r="F5" s="123" t="s">
        <v>289</v>
      </c>
      <c r="G5" s="123" t="s">
        <v>290</v>
      </c>
      <c r="H5" s="124" t="s">
        <v>291</v>
      </c>
      <c r="I5" s="123" t="s">
        <v>292</v>
      </c>
      <c r="J5" s="123" t="s">
        <v>293</v>
      </c>
      <c r="K5" s="123" t="s">
        <v>294</v>
      </c>
      <c r="L5" s="123" t="s">
        <v>295</v>
      </c>
      <c r="M5" s="123" t="s">
        <v>296</v>
      </c>
      <c r="N5" s="15"/>
      <c r="O5" s="11"/>
    </row>
    <row r="6" spans="2:15" ht="14.5" x14ac:dyDescent="0.3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1"/>
    </row>
    <row r="7" spans="2:15" ht="14.5" x14ac:dyDescent="0.3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1"/>
    </row>
    <row r="8" spans="2:15" ht="14.5" x14ac:dyDescent="0.35">
      <c r="B8" s="14" t="s">
        <v>297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1"/>
    </row>
    <row r="9" spans="2:15" ht="14.5" x14ac:dyDescent="0.35">
      <c r="B9" s="125" t="s">
        <v>122</v>
      </c>
      <c r="C9" s="126">
        <f>'Balance Sheet'!B21</f>
        <v>953</v>
      </c>
      <c r="D9" s="126">
        <f>'Balance Sheet'!C21</f>
        <v>988</v>
      </c>
      <c r="E9" s="126">
        <f>'Balance Sheet'!D21</f>
        <v>1230</v>
      </c>
      <c r="F9" s="126">
        <f>'Balance Sheet'!E21</f>
        <v>1208</v>
      </c>
      <c r="G9" s="126">
        <f>'Balance Sheet'!F21</f>
        <v>1169</v>
      </c>
      <c r="H9" s="126">
        <f>'Balance Sheet'!G21</f>
        <v>1313</v>
      </c>
      <c r="I9" s="126">
        <f>I$28*I29</f>
        <v>1418.9017172000001</v>
      </c>
      <c r="J9" s="126">
        <f t="shared" ref="J9:M9" si="0">J$28*J29</f>
        <v>1534.3878807620001</v>
      </c>
      <c r="K9" s="126">
        <f t="shared" si="0"/>
        <v>1664.3221674427705</v>
      </c>
      <c r="L9" s="126">
        <f t="shared" si="0"/>
        <v>1808.1202792614056</v>
      </c>
      <c r="M9" s="126">
        <f t="shared" si="0"/>
        <v>1967.6234177303588</v>
      </c>
      <c r="N9" s="15"/>
      <c r="O9" s="11"/>
    </row>
    <row r="10" spans="2:15" ht="14.5" x14ac:dyDescent="0.35">
      <c r="B10" s="125" t="s">
        <v>124</v>
      </c>
      <c r="C10" s="126">
        <f>'Balance Sheet'!B24</f>
        <v>242</v>
      </c>
      <c r="D10" s="126">
        <f>'Balance Sheet'!C24</f>
        <v>220</v>
      </c>
      <c r="E10" s="126">
        <f>'Balance Sheet'!D24</f>
        <v>323</v>
      </c>
      <c r="F10" s="126">
        <f>'Balance Sheet'!E24</f>
        <v>1021</v>
      </c>
      <c r="G10" s="126">
        <f>'Balance Sheet'!F24</f>
        <v>458</v>
      </c>
      <c r="H10" s="126">
        <f>'Balance Sheet'!G24</f>
        <v>555</v>
      </c>
      <c r="I10" s="126">
        <f>I$28*I30</f>
        <v>620.76950127500015</v>
      </c>
      <c r="J10" s="126">
        <f t="shared" ref="J10:M10" si="1">J$28*J30</f>
        <v>671.29469783337504</v>
      </c>
      <c r="K10" s="126">
        <f t="shared" si="1"/>
        <v>728.14094825621214</v>
      </c>
      <c r="L10" s="126">
        <f t="shared" si="1"/>
        <v>791.05262217686504</v>
      </c>
      <c r="M10" s="126">
        <f t="shared" si="1"/>
        <v>860.83524525703206</v>
      </c>
      <c r="N10" s="15"/>
      <c r="O10" s="11"/>
    </row>
    <row r="11" spans="2:15" ht="14.5" x14ac:dyDescent="0.35">
      <c r="B11" s="125" t="s">
        <v>125</v>
      </c>
      <c r="C11" s="126">
        <f>'Balance Sheet'!B25</f>
        <v>818</v>
      </c>
      <c r="D11" s="126">
        <f>'Balance Sheet'!C25</f>
        <v>943</v>
      </c>
      <c r="E11" s="126">
        <f>'Balance Sheet'!D25</f>
        <v>1000</v>
      </c>
      <c r="F11" s="126">
        <f>'Balance Sheet'!E25</f>
        <v>1035</v>
      </c>
      <c r="G11" s="126">
        <f>'Balance Sheet'!F25</f>
        <v>6149</v>
      </c>
      <c r="H11" s="126">
        <f>'Balance Sheet'!G25</f>
        <v>5413</v>
      </c>
      <c r="I11" s="126">
        <f>I$28*I31</f>
        <v>5941.6509407750009</v>
      </c>
      <c r="J11" s="126">
        <f t="shared" ref="J11:M11" si="2">J$28*J31</f>
        <v>6425.2492506908757</v>
      </c>
      <c r="K11" s="126">
        <f t="shared" si="2"/>
        <v>6969.3490761666017</v>
      </c>
      <c r="L11" s="126">
        <f>L$28*L31</f>
        <v>7571.5036694071359</v>
      </c>
      <c r="M11" s="126">
        <f t="shared" si="2"/>
        <v>8239.4230617458779</v>
      </c>
      <c r="N11" s="15"/>
      <c r="O11" s="11"/>
    </row>
    <row r="12" spans="2:15" ht="14.5" x14ac:dyDescent="0.35">
      <c r="B12" s="125" t="s">
        <v>126</v>
      </c>
      <c r="C12" s="126">
        <f>'Balance Sheet'!B26</f>
        <v>63955</v>
      </c>
      <c r="D12" s="126">
        <f>'Balance Sheet'!C26</f>
        <v>64987</v>
      </c>
      <c r="E12" s="126">
        <f>'Balance Sheet'!D26</f>
        <v>84083</v>
      </c>
      <c r="F12" s="126">
        <f>'Balance Sheet'!E26</f>
        <v>150429</v>
      </c>
      <c r="G12" s="126">
        <f>'Balance Sheet'!F26</f>
        <v>147372</v>
      </c>
      <c r="H12" s="126">
        <f>'Balance Sheet'!G26</f>
        <v>89064</v>
      </c>
      <c r="I12" s="126">
        <f>I$28*I32</f>
        <v>98436.306630750012</v>
      </c>
      <c r="J12" s="126">
        <f t="shared" ref="J12:M12" si="3">J$28*J32</f>
        <v>106448.15922786374</v>
      </c>
      <c r="K12" s="126">
        <f t="shared" si="3"/>
        <v>115462.3503663422</v>
      </c>
      <c r="L12" s="126">
        <f t="shared" si="3"/>
        <v>125438.34437376</v>
      </c>
      <c r="M12" s="126">
        <f t="shared" si="3"/>
        <v>136503.87460504365</v>
      </c>
      <c r="N12" s="15"/>
      <c r="O12" s="11"/>
    </row>
    <row r="13" spans="2:15" ht="14.5" x14ac:dyDescent="0.35">
      <c r="B13" s="14" t="s">
        <v>312</v>
      </c>
      <c r="C13" s="127">
        <f>SUM(C9:C12)</f>
        <v>65968</v>
      </c>
      <c r="D13" s="127">
        <f t="shared" ref="D13:H13" si="4">SUM(D9:D12)</f>
        <v>67138</v>
      </c>
      <c r="E13" s="127">
        <f t="shared" si="4"/>
        <v>86636</v>
      </c>
      <c r="F13" s="127">
        <f t="shared" si="4"/>
        <v>153693</v>
      </c>
      <c r="G13" s="127">
        <f t="shared" si="4"/>
        <v>155148</v>
      </c>
      <c r="H13" s="127">
        <f t="shared" si="4"/>
        <v>96345</v>
      </c>
      <c r="I13" s="127">
        <f t="shared" ref="I13" si="5">SUM(I9:I12)</f>
        <v>106417.62879000002</v>
      </c>
      <c r="J13" s="127">
        <f t="shared" ref="J13" si="6">SUM(J9:J12)</f>
        <v>115079.09105714998</v>
      </c>
      <c r="K13" s="127">
        <f t="shared" ref="K13" si="7">SUM(K9:K12)</f>
        <v>124824.16255820778</v>
      </c>
      <c r="L13" s="127">
        <f t="shared" ref="L13" si="8">SUM(L9:L12)</f>
        <v>135609.02094460541</v>
      </c>
      <c r="M13" s="127">
        <f t="shared" ref="M13" si="9">SUM(M9:M12)</f>
        <v>147571.75632977692</v>
      </c>
      <c r="N13" s="15"/>
      <c r="O13" s="11"/>
    </row>
    <row r="14" spans="2:15" ht="14.5" x14ac:dyDescent="0.35">
      <c r="B14" s="1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5"/>
      <c r="O14" s="11"/>
    </row>
    <row r="15" spans="2:15" ht="14.5" x14ac:dyDescent="0.35">
      <c r="B15" s="14" t="s">
        <v>298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5"/>
      <c r="O15" s="11"/>
    </row>
    <row r="16" spans="2:15" ht="14.5" x14ac:dyDescent="0.35">
      <c r="B16" s="125" t="s">
        <v>136</v>
      </c>
      <c r="C16" s="126">
        <f>'Balance Sheet'!B39</f>
        <v>521</v>
      </c>
      <c r="D16" s="126">
        <f>'Balance Sheet'!C39</f>
        <v>505</v>
      </c>
      <c r="E16" s="126">
        <f>'Balance Sheet'!D39</f>
        <v>639</v>
      </c>
      <c r="F16" s="126">
        <f>'Balance Sheet'!E39</f>
        <v>703</v>
      </c>
      <c r="G16" s="126">
        <f>'Balance Sheet'!F39</f>
        <v>619</v>
      </c>
      <c r="H16" s="126">
        <f>'Balance Sheet'!G39</f>
        <v>919</v>
      </c>
      <c r="I16" s="126">
        <f>I$28*I33</f>
        <v>975.49493057500013</v>
      </c>
      <c r="J16" s="126">
        <f t="shared" ref="J16:M16" si="10">J$28*J33</f>
        <v>1054.8916680238749</v>
      </c>
      <c r="K16" s="126">
        <f t="shared" si="10"/>
        <v>1144.2214901169048</v>
      </c>
      <c r="L16" s="126">
        <f t="shared" si="10"/>
        <v>1243.0826919922163</v>
      </c>
      <c r="M16" s="126">
        <f t="shared" si="10"/>
        <v>1352.7410996896217</v>
      </c>
      <c r="N16" s="15"/>
      <c r="O16" s="11"/>
    </row>
    <row r="17" spans="2:15" ht="14.5" x14ac:dyDescent="0.35">
      <c r="B17" s="125" t="s">
        <v>137</v>
      </c>
      <c r="C17" s="126">
        <f>'Balance Sheet'!B40</f>
        <v>295</v>
      </c>
      <c r="D17" s="126">
        <f>'Balance Sheet'!C40</f>
        <v>304</v>
      </c>
      <c r="E17" s="126">
        <f>'Balance Sheet'!D40</f>
        <v>359</v>
      </c>
      <c r="F17" s="126">
        <f>'Balance Sheet'!E40</f>
        <v>366</v>
      </c>
      <c r="G17" s="126">
        <f>'Balance Sheet'!F40</f>
        <v>364</v>
      </c>
      <c r="H17" s="126">
        <f>'Balance Sheet'!G40</f>
        <v>226</v>
      </c>
      <c r="I17" s="126">
        <f>I$28*I34</f>
        <v>266.04407197500001</v>
      </c>
      <c r="J17" s="126">
        <f t="shared" ref="J17:M17" si="11">J$28*J34</f>
        <v>287.69772764287501</v>
      </c>
      <c r="K17" s="126">
        <f t="shared" si="11"/>
        <v>312.06040639551946</v>
      </c>
      <c r="L17" s="126">
        <f t="shared" si="11"/>
        <v>339.02255236151353</v>
      </c>
      <c r="M17" s="126">
        <f t="shared" si="11"/>
        <v>368.92939082444224</v>
      </c>
      <c r="N17" s="15"/>
      <c r="O17" s="11"/>
    </row>
    <row r="18" spans="2:15" ht="14.5" x14ac:dyDescent="0.35">
      <c r="B18" s="125" t="s">
        <v>138</v>
      </c>
      <c r="C18" s="126">
        <f>'Balance Sheet'!B41</f>
        <v>951</v>
      </c>
      <c r="D18" s="126">
        <f>'Balance Sheet'!C41</f>
        <v>1321</v>
      </c>
      <c r="E18" s="126">
        <f>'Balance Sheet'!D41</f>
        <v>2411</v>
      </c>
      <c r="F18" s="126">
        <f>'Balance Sheet'!E41</f>
        <v>1022</v>
      </c>
      <c r="G18" s="126">
        <f>'Balance Sheet'!F41</f>
        <v>4</v>
      </c>
      <c r="H18" s="126" t="str">
        <f>'Balance Sheet'!G41</f>
        <v>-</v>
      </c>
      <c r="I18" s="126">
        <f t="shared" ref="I18:M18" si="12">I$28*I35</f>
        <v>0</v>
      </c>
      <c r="J18" s="126">
        <f t="shared" si="12"/>
        <v>0</v>
      </c>
      <c r="K18" s="126">
        <f t="shared" si="12"/>
        <v>0</v>
      </c>
      <c r="L18" s="126">
        <f t="shared" si="12"/>
        <v>0</v>
      </c>
      <c r="M18" s="126">
        <f t="shared" si="12"/>
        <v>0</v>
      </c>
      <c r="N18" s="15"/>
      <c r="O18" s="11"/>
    </row>
    <row r="19" spans="2:15" ht="14.5" x14ac:dyDescent="0.35">
      <c r="B19" s="125" t="s">
        <v>141</v>
      </c>
      <c r="C19" s="126">
        <f>'Balance Sheet'!B44</f>
        <v>135</v>
      </c>
      <c r="D19" s="126">
        <f>'Balance Sheet'!C44</f>
        <v>129</v>
      </c>
      <c r="E19" s="126">
        <f>'Balance Sheet'!D44</f>
        <v>158</v>
      </c>
      <c r="F19" s="126">
        <f>'Balance Sheet'!E44</f>
        <v>194</v>
      </c>
      <c r="G19" s="126">
        <f>'Balance Sheet'!F44</f>
        <v>170</v>
      </c>
      <c r="H19" s="126">
        <f>'Balance Sheet'!G44</f>
        <v>437</v>
      </c>
      <c r="I19" s="126">
        <f t="shared" ref="I19:M19" si="13">I$28*I36</f>
        <v>443.40678662500005</v>
      </c>
      <c r="J19" s="126">
        <f t="shared" si="13"/>
        <v>479.496212738125</v>
      </c>
      <c r="K19" s="126">
        <f t="shared" si="13"/>
        <v>520.10067732586583</v>
      </c>
      <c r="L19" s="126">
        <f t="shared" si="13"/>
        <v>565.0375872691892</v>
      </c>
      <c r="M19" s="126">
        <f t="shared" si="13"/>
        <v>614.88231804073712</v>
      </c>
      <c r="N19" s="15"/>
      <c r="O19" s="11"/>
    </row>
    <row r="20" spans="2:15" ht="14.5" x14ac:dyDescent="0.35">
      <c r="B20" s="125" t="s">
        <v>142</v>
      </c>
      <c r="C20" s="126">
        <f>'Balance Sheet'!B45</f>
        <v>64206</v>
      </c>
      <c r="D20" s="126">
        <f>'Balance Sheet'!C45</f>
        <v>65256</v>
      </c>
      <c r="E20" s="126">
        <f>'Balance Sheet'!D45</f>
        <v>84363</v>
      </c>
      <c r="F20" s="126">
        <f>'Balance Sheet'!E45</f>
        <v>150555</v>
      </c>
      <c r="G20" s="126">
        <f>'Balance Sheet'!F45</f>
        <v>147949</v>
      </c>
      <c r="H20" s="126">
        <f>'Balance Sheet'!G45</f>
        <v>88622</v>
      </c>
      <c r="I20" s="126">
        <f t="shared" ref="I20:M20" si="14">I$28*I37</f>
        <v>97992.899844125015</v>
      </c>
      <c r="J20" s="126">
        <f t="shared" si="14"/>
        <v>105968.66301512562</v>
      </c>
      <c r="K20" s="126">
        <f>K$28*K37</f>
        <v>114942.24968901635</v>
      </c>
      <c r="L20" s="126">
        <f t="shared" si="14"/>
        <v>124873.30678649082</v>
      </c>
      <c r="M20" s="126">
        <f t="shared" si="14"/>
        <v>135888.99228700291</v>
      </c>
      <c r="N20" s="15"/>
      <c r="O20" s="11"/>
    </row>
    <row r="21" spans="2:15" ht="14.5" x14ac:dyDescent="0.35">
      <c r="B21" s="14" t="s">
        <v>311</v>
      </c>
      <c r="C21" s="127">
        <f>SUM(C16:C20)</f>
        <v>66108</v>
      </c>
      <c r="D21" s="127">
        <f t="shared" ref="D21:H21" si="15">SUM(D16:D20)</f>
        <v>67515</v>
      </c>
      <c r="E21" s="127">
        <f t="shared" si="15"/>
        <v>87930</v>
      </c>
      <c r="F21" s="127">
        <f t="shared" si="15"/>
        <v>152840</v>
      </c>
      <c r="G21" s="127">
        <f t="shared" si="15"/>
        <v>149106</v>
      </c>
      <c r="H21" s="127">
        <f t="shared" si="15"/>
        <v>90204</v>
      </c>
      <c r="I21" s="127">
        <f t="shared" ref="I21" si="16">SUM(I16:I20)</f>
        <v>99677.845633300021</v>
      </c>
      <c r="J21" s="127">
        <f t="shared" ref="J21" si="17">SUM(J16:J20)</f>
        <v>107790.7486235305</v>
      </c>
      <c r="K21" s="127">
        <f t="shared" ref="K21" si="18">SUM(K16:K20)</f>
        <v>116918.63226285463</v>
      </c>
      <c r="L21" s="127">
        <f t="shared" ref="L21" si="19">SUM(L16:L20)</f>
        <v>127020.44961811374</v>
      </c>
      <c r="M21" s="127">
        <f t="shared" ref="M21" si="20">SUM(M16:M20)</f>
        <v>138225.54509555773</v>
      </c>
      <c r="N21" s="15"/>
      <c r="O21" s="11"/>
    </row>
    <row r="22" spans="2:15" ht="14.5" x14ac:dyDescent="0.35">
      <c r="B22" s="1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5"/>
      <c r="O22" s="11"/>
    </row>
    <row r="23" spans="2:15" ht="14.5" x14ac:dyDescent="0.35">
      <c r="B23" s="14" t="s">
        <v>299</v>
      </c>
      <c r="C23" s="126">
        <f>C21-C13</f>
        <v>140</v>
      </c>
      <c r="D23" s="126">
        <f t="shared" ref="D23:H23" si="21">D21-D13</f>
        <v>377</v>
      </c>
      <c r="E23" s="126">
        <f t="shared" si="21"/>
        <v>1294</v>
      </c>
      <c r="F23" s="126">
        <f t="shared" si="21"/>
        <v>-853</v>
      </c>
      <c r="G23" s="126">
        <f t="shared" si="21"/>
        <v>-6042</v>
      </c>
      <c r="H23" s="126">
        <f t="shared" si="21"/>
        <v>-6141</v>
      </c>
      <c r="I23" s="126">
        <f t="shared" ref="I23:M23" si="22">I21-I13</f>
        <v>-6739.7831566999957</v>
      </c>
      <c r="J23" s="126">
        <f t="shared" si="22"/>
        <v>-7288.3424336194876</v>
      </c>
      <c r="K23" s="126">
        <f t="shared" si="22"/>
        <v>-7905.53029535315</v>
      </c>
      <c r="L23" s="126">
        <f t="shared" si="22"/>
        <v>-8588.5713264916703</v>
      </c>
      <c r="M23" s="126">
        <f t="shared" si="22"/>
        <v>-9346.2112342191976</v>
      </c>
      <c r="N23" s="15"/>
      <c r="O23" s="11"/>
    </row>
    <row r="24" spans="2:15" ht="14.5" x14ac:dyDescent="0.35">
      <c r="B24" s="128" t="s">
        <v>301</v>
      </c>
      <c r="C24" s="126"/>
      <c r="D24" s="126">
        <f>C23-D23</f>
        <v>-237</v>
      </c>
      <c r="E24" s="126">
        <f t="shared" ref="E24:H24" si="23">D23-E23</f>
        <v>-917</v>
      </c>
      <c r="F24" s="126">
        <f t="shared" si="23"/>
        <v>2147</v>
      </c>
      <c r="G24" s="126">
        <f t="shared" si="23"/>
        <v>5189</v>
      </c>
      <c r="H24" s="126">
        <f t="shared" si="23"/>
        <v>99</v>
      </c>
      <c r="I24" s="126">
        <f t="shared" ref="I24" si="24">H23-I23</f>
        <v>598.78315669999574</v>
      </c>
      <c r="J24" s="126">
        <f t="shared" ref="J24" si="25">I23-J23</f>
        <v>548.55927691949182</v>
      </c>
      <c r="K24" s="126">
        <f t="shared" ref="K24" si="26">J23-K23</f>
        <v>617.18786173366243</v>
      </c>
      <c r="L24" s="126">
        <f t="shared" ref="L24" si="27">K23-L23</f>
        <v>683.04103113852034</v>
      </c>
      <c r="M24" s="126">
        <f t="shared" ref="M24" si="28">L23-M23</f>
        <v>757.63990772752732</v>
      </c>
      <c r="N24" s="15"/>
      <c r="O24" s="11"/>
    </row>
    <row r="25" spans="2:15" ht="14.5" x14ac:dyDescent="0.35">
      <c r="B25" s="1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5"/>
      <c r="O25" s="11"/>
    </row>
    <row r="26" spans="2:15" ht="14.5" x14ac:dyDescent="0.35">
      <c r="B26" s="1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5"/>
      <c r="O26" s="11"/>
    </row>
    <row r="27" spans="2:15" ht="14.5" x14ac:dyDescent="0.35">
      <c r="B27" s="14" t="s">
        <v>300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5"/>
      <c r="O27" s="11"/>
    </row>
    <row r="28" spans="2:15" ht="14.5" x14ac:dyDescent="0.35">
      <c r="B28" s="128" t="s">
        <v>32</v>
      </c>
      <c r="C28" s="126">
        <f>DCF!C11</f>
        <v>4979</v>
      </c>
      <c r="D28" s="126">
        <f>DCF!D11</f>
        <v>5202</v>
      </c>
      <c r="E28" s="126">
        <f>DCF!E11</f>
        <v>6036</v>
      </c>
      <c r="F28" s="126">
        <f>DCF!F11</f>
        <v>7146</v>
      </c>
      <c r="G28" s="126">
        <f>DCF!G11</f>
        <v>7292</v>
      </c>
      <c r="H28" s="126">
        <f>DCF!H11</f>
        <v>8021.2000000000007</v>
      </c>
      <c r="I28" s="126">
        <f>DCF!I11</f>
        <v>8868.1357325000008</v>
      </c>
      <c r="J28" s="126">
        <f>DCF!J11</f>
        <v>9589.9242547624999</v>
      </c>
      <c r="K28" s="126">
        <f>DCF!K11</f>
        <v>10402.013546517315</v>
      </c>
      <c r="L28" s="126">
        <f>DCF!L11</f>
        <v>11300.751745383785</v>
      </c>
      <c r="M28" s="126">
        <f>DCF!M11</f>
        <v>12297.646360814742</v>
      </c>
      <c r="N28" s="15"/>
      <c r="O28" s="11"/>
    </row>
    <row r="29" spans="2:15" ht="14.5" x14ac:dyDescent="0.35">
      <c r="B29" s="129" t="s">
        <v>302</v>
      </c>
      <c r="C29" s="130">
        <f>C9/C$28</f>
        <v>0.19140389636473187</v>
      </c>
      <c r="D29" s="130">
        <f t="shared" ref="D29:H29" si="29">D9/D$28</f>
        <v>0.18992695117262592</v>
      </c>
      <c r="E29" s="130">
        <f t="shared" si="29"/>
        <v>0.20377733598409542</v>
      </c>
      <c r="F29" s="130">
        <f t="shared" si="29"/>
        <v>0.16904561992723202</v>
      </c>
      <c r="G29" s="130">
        <f t="shared" si="29"/>
        <v>0.16031267142073505</v>
      </c>
      <c r="H29" s="130">
        <f t="shared" si="29"/>
        <v>0.16369121827158029</v>
      </c>
      <c r="I29" s="130">
        <v>0.16</v>
      </c>
      <c r="J29" s="130">
        <v>0.16</v>
      </c>
      <c r="K29" s="130">
        <v>0.16</v>
      </c>
      <c r="L29" s="130">
        <v>0.16</v>
      </c>
      <c r="M29" s="130">
        <v>0.16</v>
      </c>
      <c r="N29" s="15"/>
      <c r="O29" s="11"/>
    </row>
    <row r="30" spans="2:15" ht="14.5" x14ac:dyDescent="0.35">
      <c r="B30" s="129" t="s">
        <v>303</v>
      </c>
      <c r="C30" s="130">
        <f t="shared" ref="C30:H30" si="30">C10/C$28</f>
        <v>4.8604137376983332E-2</v>
      </c>
      <c r="D30" s="130">
        <f t="shared" si="30"/>
        <v>4.2291426374471357E-2</v>
      </c>
      <c r="E30" s="130">
        <f t="shared" si="30"/>
        <v>5.3512259774685225E-2</v>
      </c>
      <c r="F30" s="130">
        <f t="shared" si="30"/>
        <v>0.14287713406101316</v>
      </c>
      <c r="G30" s="130">
        <f t="shared" si="30"/>
        <v>6.2808557323093803E-2</v>
      </c>
      <c r="H30" s="130">
        <f t="shared" si="30"/>
        <v>6.9191642148306975E-2</v>
      </c>
      <c r="I30" s="130">
        <v>7.0000000000000007E-2</v>
      </c>
      <c r="J30" s="130">
        <v>7.0000000000000007E-2</v>
      </c>
      <c r="K30" s="130">
        <v>7.0000000000000007E-2</v>
      </c>
      <c r="L30" s="130">
        <v>7.0000000000000007E-2</v>
      </c>
      <c r="M30" s="130">
        <v>7.0000000000000007E-2</v>
      </c>
      <c r="N30" s="15"/>
      <c r="O30" s="11"/>
    </row>
    <row r="31" spans="2:15" ht="14.5" x14ac:dyDescent="0.35">
      <c r="B31" s="129" t="s">
        <v>304</v>
      </c>
      <c r="C31" s="130">
        <f>C11/C$28</f>
        <v>0.16429001807591886</v>
      </c>
      <c r="D31" s="130">
        <f t="shared" ref="D31:H31" si="31">D11/D$28</f>
        <v>0.18127643214148403</v>
      </c>
      <c r="E31" s="130">
        <f t="shared" si="31"/>
        <v>0.1656726308813784</v>
      </c>
      <c r="F31" s="130">
        <f t="shared" si="31"/>
        <v>0.14483627204030228</v>
      </c>
      <c r="G31" s="130">
        <f t="shared" si="31"/>
        <v>0.84325287986834885</v>
      </c>
      <c r="H31" s="130">
        <f t="shared" si="31"/>
        <v>0.67483668279060482</v>
      </c>
      <c r="I31" s="130">
        <v>0.67</v>
      </c>
      <c r="J31" s="130">
        <v>0.67</v>
      </c>
      <c r="K31" s="130">
        <v>0.67</v>
      </c>
      <c r="L31" s="130">
        <v>0.67</v>
      </c>
      <c r="M31" s="130">
        <v>0.67</v>
      </c>
      <c r="N31" s="15"/>
      <c r="O31" s="11"/>
    </row>
    <row r="32" spans="2:15" ht="14.5" x14ac:dyDescent="0.35">
      <c r="B32" s="129" t="s">
        <v>305</v>
      </c>
      <c r="C32" s="130">
        <f>C12/C$28</f>
        <v>12.844948784896566</v>
      </c>
      <c r="D32" s="130">
        <f t="shared" ref="D32:H32" si="32">D12/D$28</f>
        <v>12.492695117262592</v>
      </c>
      <c r="E32" s="130">
        <f t="shared" si="32"/>
        <v>13.93025182239894</v>
      </c>
      <c r="F32" s="130">
        <f t="shared" si="32"/>
        <v>21.050797649034426</v>
      </c>
      <c r="G32" s="130">
        <f t="shared" si="32"/>
        <v>20.210093252879869</v>
      </c>
      <c r="H32" s="130">
        <f t="shared" si="32"/>
        <v>11.103575524859123</v>
      </c>
      <c r="I32" s="130">
        <v>11.1</v>
      </c>
      <c r="J32" s="130">
        <v>11.1</v>
      </c>
      <c r="K32" s="130">
        <v>11.1</v>
      </c>
      <c r="L32" s="130">
        <v>11.1</v>
      </c>
      <c r="M32" s="130">
        <v>11.1</v>
      </c>
      <c r="N32" s="15"/>
      <c r="O32" s="11"/>
    </row>
    <row r="33" spans="2:15" ht="14.5" x14ac:dyDescent="0.35">
      <c r="B33" s="129" t="s">
        <v>306</v>
      </c>
      <c r="C33" s="130">
        <f>C16/C$28</f>
        <v>0.10463948584053023</v>
      </c>
      <c r="D33" s="130">
        <f t="shared" ref="D33:H33" si="33">D16/D$28</f>
        <v>9.7078046905036519E-2</v>
      </c>
      <c r="E33" s="130">
        <f t="shared" si="33"/>
        <v>0.1058648111332008</v>
      </c>
      <c r="F33" s="130">
        <f t="shared" si="33"/>
        <v>9.8376714245731883E-2</v>
      </c>
      <c r="G33" s="130">
        <f t="shared" si="33"/>
        <v>8.4887547997805818E-2</v>
      </c>
      <c r="H33" s="130">
        <f t="shared" si="33"/>
        <v>0.11457138582755697</v>
      </c>
      <c r="I33" s="130">
        <v>0.11</v>
      </c>
      <c r="J33" s="130">
        <v>0.11</v>
      </c>
      <c r="K33" s="130">
        <v>0.11</v>
      </c>
      <c r="L33" s="130">
        <v>0.11</v>
      </c>
      <c r="M33" s="130">
        <v>0.11</v>
      </c>
      <c r="N33" s="15"/>
      <c r="O33" s="11"/>
    </row>
    <row r="34" spans="2:15" ht="14.5" x14ac:dyDescent="0.35">
      <c r="B34" s="129" t="s">
        <v>307</v>
      </c>
      <c r="C34" s="130">
        <f t="shared" ref="C34:H34" si="34">C17/C$28</f>
        <v>5.9248845149628436E-2</v>
      </c>
      <c r="D34" s="130">
        <f t="shared" si="34"/>
        <v>5.8439061899269514E-2</v>
      </c>
      <c r="E34" s="130">
        <f t="shared" si="34"/>
        <v>5.9476474486414847E-2</v>
      </c>
      <c r="F34" s="130">
        <f t="shared" si="34"/>
        <v>5.1217464315701094E-2</v>
      </c>
      <c r="G34" s="130">
        <f t="shared" si="34"/>
        <v>4.9917718047174986E-2</v>
      </c>
      <c r="H34" s="130">
        <f t="shared" si="34"/>
        <v>2.8175335361292572E-2</v>
      </c>
      <c r="I34" s="130">
        <v>0.03</v>
      </c>
      <c r="J34" s="130">
        <v>0.03</v>
      </c>
      <c r="K34" s="130">
        <v>0.03</v>
      </c>
      <c r="L34" s="130">
        <v>0.03</v>
      </c>
      <c r="M34" s="130">
        <v>0.03</v>
      </c>
      <c r="N34" s="15"/>
      <c r="O34" s="11"/>
    </row>
    <row r="35" spans="2:15" ht="14.5" x14ac:dyDescent="0.35">
      <c r="B35" s="129" t="s">
        <v>308</v>
      </c>
      <c r="C35" s="130">
        <f t="shared" ref="C35:G35" si="35">C18/C$28</f>
        <v>0.19100220927897169</v>
      </c>
      <c r="D35" s="130">
        <f t="shared" si="35"/>
        <v>0.25394079200307573</v>
      </c>
      <c r="E35" s="130">
        <f t="shared" si="35"/>
        <v>0.39943671305500333</v>
      </c>
      <c r="F35" s="130">
        <f t="shared" si="35"/>
        <v>0.14301707248810525</v>
      </c>
      <c r="G35" s="130">
        <f t="shared" si="35"/>
        <v>5.4854635216675812E-4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5"/>
      <c r="O35" s="11"/>
    </row>
    <row r="36" spans="2:15" ht="14.5" x14ac:dyDescent="0.35">
      <c r="B36" s="129" t="s">
        <v>309</v>
      </c>
      <c r="C36" s="130">
        <f t="shared" ref="C36:H36" si="36">C19/C$28</f>
        <v>2.7113878288813016E-2</v>
      </c>
      <c r="D36" s="130">
        <f t="shared" si="36"/>
        <v>2.4798154555940023E-2</v>
      </c>
      <c r="E36" s="130">
        <f t="shared" si="36"/>
        <v>2.6176275679257788E-2</v>
      </c>
      <c r="F36" s="130">
        <f t="shared" si="36"/>
        <v>2.714805485586342E-2</v>
      </c>
      <c r="G36" s="130">
        <f t="shared" si="36"/>
        <v>2.3313219967087219E-2</v>
      </c>
      <c r="H36" s="130">
        <f t="shared" si="36"/>
        <v>5.4480626340198471E-2</v>
      </c>
      <c r="I36" s="130">
        <v>0.05</v>
      </c>
      <c r="J36" s="130">
        <v>0.05</v>
      </c>
      <c r="K36" s="130">
        <v>0.05</v>
      </c>
      <c r="L36" s="130">
        <v>0.05</v>
      </c>
      <c r="M36" s="130">
        <v>0.05</v>
      </c>
      <c r="N36" s="15"/>
      <c r="O36" s="11"/>
    </row>
    <row r="37" spans="2:15" ht="14.5" x14ac:dyDescent="0.35">
      <c r="B37" s="129" t="s">
        <v>310</v>
      </c>
      <c r="C37" s="130">
        <f t="shared" ref="C37:H37" si="37">C20/C$28</f>
        <v>12.895360514159469</v>
      </c>
      <c r="D37" s="130">
        <f t="shared" si="37"/>
        <v>12.544405997693195</v>
      </c>
      <c r="E37" s="130">
        <f t="shared" si="37"/>
        <v>13.976640159045726</v>
      </c>
      <c r="F37" s="130">
        <f t="shared" si="37"/>
        <v>21.068429890848027</v>
      </c>
      <c r="G37" s="130">
        <f t="shared" si="37"/>
        <v>20.289221064179923</v>
      </c>
      <c r="H37" s="130">
        <f t="shared" si="37"/>
        <v>11.048471550391461</v>
      </c>
      <c r="I37" s="130">
        <v>11.05</v>
      </c>
      <c r="J37" s="130">
        <v>11.05</v>
      </c>
      <c r="K37" s="130">
        <v>11.05</v>
      </c>
      <c r="L37" s="130">
        <v>11.05</v>
      </c>
      <c r="M37" s="130">
        <v>11.05</v>
      </c>
      <c r="N37" s="15"/>
      <c r="O37" s="11"/>
    </row>
    <row r="38" spans="2:15" ht="14.5" x14ac:dyDescent="0.3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ht="14.5" x14ac:dyDescent="0.3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ht="14.5" x14ac:dyDescent="0.3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ht="14.5" x14ac:dyDescent="0.3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ht="14.5" x14ac:dyDescent="0.3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14.5" x14ac:dyDescent="0.3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ht="14.5" x14ac:dyDescent="0.3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ht="14.5" x14ac:dyDescent="0.3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</sheetData>
  <mergeCells count="2">
    <mergeCell ref="C4:H4"/>
    <mergeCell ref="I4:M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Title</vt:lpstr>
      <vt:lpstr>Master</vt:lpstr>
      <vt:lpstr>Historical Data&gt;&gt;</vt:lpstr>
      <vt:lpstr>Income Statement</vt:lpstr>
      <vt:lpstr>Balance Sheet</vt:lpstr>
      <vt:lpstr>Cash Flow</vt:lpstr>
      <vt:lpstr>Valuation&gt;&gt;</vt:lpstr>
      <vt:lpstr>Drivers</vt:lpstr>
      <vt:lpstr>NWC Build</vt:lpstr>
      <vt:lpstr>DCF</vt:lpstr>
      <vt:lpstr>COMPS</vt:lpstr>
      <vt:lpstr>'Balance Sheet'!Print_Titles</vt:lpstr>
      <vt:lpstr>'Cash Flow'!Print_Titles</vt:lpstr>
      <vt:lpstr>'Income Statement'!Print_Titles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2023-11-14T05:47:55Z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