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burchet\Downloads\"/>
    </mc:Choice>
  </mc:AlternateContent>
  <xr:revisionPtr revIDLastSave="0" documentId="8_{66D0FF7B-986A-4CBC-A75A-95EBD4BF4EB3}" xr6:coauthVersionLast="47" xr6:coauthVersionMax="47" xr10:uidLastSave="{00000000-0000-0000-0000-000000000000}"/>
  <bookViews>
    <workbookView xWindow="28680" yWindow="-120" windowWidth="29040" windowHeight="15720" xr2:uid="{511F6AA8-4916-4AC1-9F01-889E135EC84B}"/>
  </bookViews>
  <sheets>
    <sheet name="Cover" sheetId="17" r:id="rId1"/>
    <sheet name="Operating Build&gt;&gt;" sheetId="12" r:id="rId2"/>
    <sheet name="Assumptions" sheetId="11" r:id="rId3"/>
    <sheet name="Op Model" sheetId="5" r:id="rId4"/>
    <sheet name="Revenue Build" sheetId="7" r:id="rId5"/>
    <sheet name="Store Count Build" sheetId="6" r:id="rId6"/>
    <sheet name="TAM Build" sheetId="28" r:id="rId7"/>
    <sheet name="Valuation&gt;&gt;" sheetId="18" r:id="rId8"/>
    <sheet name="WACC" sheetId="20" r:id="rId9"/>
    <sheet name="DCF" sheetId="21" r:id="rId10"/>
    <sheet name="Reverse DCF" sheetId="22" r:id="rId11"/>
    <sheet name="Comps" sheetId="23" r:id="rId12"/>
    <sheet name="VVV Historicals&gt;&gt;" sheetId="4" r:id="rId13"/>
    <sheet name="Income Statement" sheetId="2" r:id="rId14"/>
    <sheet name="Balance Sheet" sheetId="29" r:id="rId15"/>
    <sheet name="Cash Flow" sheetId="3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1" i="5" l="1"/>
  <c r="D52" i="5"/>
  <c r="D79" i="11" s="1"/>
  <c r="E52" i="5"/>
  <c r="E79" i="11" s="1"/>
  <c r="F52" i="5"/>
  <c r="F79" i="11" s="1"/>
  <c r="G52" i="5"/>
  <c r="G79" i="11" s="1"/>
  <c r="H52" i="5"/>
  <c r="H79" i="11" s="1"/>
  <c r="C52" i="5"/>
  <c r="C79" i="11" s="1"/>
  <c r="D69" i="2"/>
  <c r="E69" i="2"/>
  <c r="F69" i="2"/>
  <c r="G69" i="2"/>
  <c r="H69" i="2"/>
  <c r="C69" i="2"/>
  <c r="C68" i="2"/>
  <c r="H15" i="5"/>
  <c r="D16" i="21" s="1"/>
  <c r="G15" i="5"/>
  <c r="C16" i="21" s="1"/>
  <c r="H18" i="20"/>
  <c r="D18" i="20"/>
  <c r="G17" i="7"/>
  <c r="F17" i="7"/>
  <c r="G68" i="21"/>
  <c r="H68" i="21" s="1"/>
  <c r="E68" i="21"/>
  <c r="D68" i="21" s="1"/>
  <c r="C81" i="21"/>
  <c r="C82" i="21" s="1"/>
  <c r="C79" i="21"/>
  <c r="C78" i="21" s="1"/>
  <c r="J64" i="11"/>
  <c r="K64" i="11" s="1"/>
  <c r="L64" i="11" s="1"/>
  <c r="M64" i="11" s="1"/>
  <c r="N64" i="11" s="1"/>
  <c r="O64" i="11" s="1"/>
  <c r="J63" i="11"/>
  <c r="K63" i="11" s="1"/>
  <c r="L63" i="11" s="1"/>
  <c r="M63" i="11" s="1"/>
  <c r="N63" i="11" s="1"/>
  <c r="O63" i="11" s="1"/>
  <c r="C28" i="21" l="1"/>
  <c r="H40" i="5"/>
  <c r="H42" i="5"/>
  <c r="G41" i="5"/>
  <c r="G42" i="5"/>
  <c r="G40" i="5"/>
  <c r="B59" i="5"/>
  <c r="B60" i="5"/>
  <c r="B61" i="5"/>
  <c r="B62" i="5"/>
  <c r="B64" i="5"/>
  <c r="B65" i="5"/>
  <c r="B66" i="5"/>
  <c r="B58" i="5"/>
  <c r="B50" i="5"/>
  <c r="B51" i="5"/>
  <c r="B53" i="5"/>
  <c r="B55" i="5"/>
  <c r="C55" i="5"/>
  <c r="D55" i="5"/>
  <c r="E55" i="5"/>
  <c r="F55" i="5"/>
  <c r="G55" i="5"/>
  <c r="H55" i="5"/>
  <c r="B56" i="5"/>
  <c r="C56" i="5"/>
  <c r="D56" i="5"/>
  <c r="E56" i="5"/>
  <c r="F56" i="5"/>
  <c r="G56" i="5"/>
  <c r="H56" i="5"/>
  <c r="D62" i="29"/>
  <c r="E62" i="29"/>
  <c r="F62" i="29"/>
  <c r="G62" i="29"/>
  <c r="H62" i="29"/>
  <c r="D63" i="29"/>
  <c r="E63" i="29"/>
  <c r="F63" i="29"/>
  <c r="G63" i="29"/>
  <c r="H63" i="29"/>
  <c r="D64" i="29"/>
  <c r="E64" i="29"/>
  <c r="F64" i="29"/>
  <c r="G64" i="29"/>
  <c r="H64" i="29"/>
  <c r="C63" i="29"/>
  <c r="C64" i="29"/>
  <c r="C62" i="29"/>
  <c r="D65" i="29"/>
  <c r="E65" i="29"/>
  <c r="F65" i="29"/>
  <c r="G65" i="29"/>
  <c r="H65" i="29"/>
  <c r="D54" i="29"/>
  <c r="E54" i="29"/>
  <c r="F54" i="29"/>
  <c r="G54" i="29"/>
  <c r="H54" i="29"/>
  <c r="H33" i="5" s="1"/>
  <c r="D55" i="29"/>
  <c r="E55" i="29"/>
  <c r="F55" i="29"/>
  <c r="G55" i="29"/>
  <c r="G34" i="5" s="1"/>
  <c r="H55" i="29"/>
  <c r="H34" i="5" s="1"/>
  <c r="D56" i="29"/>
  <c r="E56" i="29"/>
  <c r="F56" i="29"/>
  <c r="G56" i="29"/>
  <c r="H56" i="29"/>
  <c r="D57" i="29"/>
  <c r="D74" i="29" s="1"/>
  <c r="D61" i="5" s="1"/>
  <c r="D116" i="11" s="1"/>
  <c r="E57" i="29"/>
  <c r="F57" i="29"/>
  <c r="G57" i="29"/>
  <c r="G74" i="29" s="1"/>
  <c r="G61" i="5" s="1"/>
  <c r="G116" i="11" s="1"/>
  <c r="H57" i="29"/>
  <c r="H36" i="5" s="1"/>
  <c r="D58" i="29"/>
  <c r="E58" i="29"/>
  <c r="F58" i="29"/>
  <c r="G58" i="29"/>
  <c r="H58" i="29"/>
  <c r="C55" i="29"/>
  <c r="C72" i="29" s="1"/>
  <c r="C59" i="5" s="1"/>
  <c r="C106" i="11" s="1"/>
  <c r="C56" i="29"/>
  <c r="C57" i="29"/>
  <c r="C58" i="29"/>
  <c r="C54" i="29"/>
  <c r="C65" i="29"/>
  <c r="D59" i="29"/>
  <c r="E59" i="29"/>
  <c r="F59" i="29"/>
  <c r="G59" i="29"/>
  <c r="H59" i="29"/>
  <c r="C59" i="29"/>
  <c r="D51" i="29"/>
  <c r="E51" i="29"/>
  <c r="F51" i="29"/>
  <c r="G51" i="29"/>
  <c r="H51" i="29"/>
  <c r="C51" i="29"/>
  <c r="D50" i="29"/>
  <c r="E50" i="29"/>
  <c r="F50" i="29"/>
  <c r="G50" i="29"/>
  <c r="H50" i="29"/>
  <c r="C50" i="29"/>
  <c r="G104" i="28"/>
  <c r="H104" i="28"/>
  <c r="I104" i="28"/>
  <c r="G98" i="28"/>
  <c r="H98" i="28"/>
  <c r="I98" i="28"/>
  <c r="G79" i="28"/>
  <c r="H79" i="28"/>
  <c r="I79" i="28"/>
  <c r="F104" i="28"/>
  <c r="E104" i="28"/>
  <c r="F98" i="28"/>
  <c r="E98" i="28"/>
  <c r="F79" i="28"/>
  <c r="E79" i="28"/>
  <c r="D79" i="28"/>
  <c r="D98" i="28"/>
  <c r="D104" i="28"/>
  <c r="D72" i="28"/>
  <c r="E72" i="28"/>
  <c r="F72" i="28"/>
  <c r="G72" i="28"/>
  <c r="H72" i="28"/>
  <c r="I72" i="28"/>
  <c r="D47" i="28"/>
  <c r="D66" i="28"/>
  <c r="E66" i="28"/>
  <c r="F66" i="28"/>
  <c r="G66" i="28"/>
  <c r="H66" i="28"/>
  <c r="I66" i="28"/>
  <c r="E47" i="28"/>
  <c r="F47" i="28"/>
  <c r="G47" i="28"/>
  <c r="H47" i="28"/>
  <c r="I47" i="28"/>
  <c r="H29" i="5"/>
  <c r="G29" i="5"/>
  <c r="I7" i="22"/>
  <c r="J7" i="22"/>
  <c r="K7" i="22"/>
  <c r="L7" i="22"/>
  <c r="G43" i="5" l="1"/>
  <c r="G73" i="29"/>
  <c r="G60" i="5" s="1"/>
  <c r="G111" i="11" s="1"/>
  <c r="H73" i="29"/>
  <c r="H60" i="5" s="1"/>
  <c r="H111" i="11" s="1"/>
  <c r="D73" i="29"/>
  <c r="D60" i="5" s="1"/>
  <c r="D111" i="11" s="1"/>
  <c r="G78" i="29"/>
  <c r="G65" i="5" s="1"/>
  <c r="G132" i="11" s="1"/>
  <c r="E71" i="29"/>
  <c r="E58" i="5" s="1"/>
  <c r="E101" i="11" s="1"/>
  <c r="D71" i="29"/>
  <c r="D58" i="5" s="1"/>
  <c r="D101" i="11" s="1"/>
  <c r="F73" i="29"/>
  <c r="F60" i="5" s="1"/>
  <c r="F111" i="11" s="1"/>
  <c r="E73" i="29"/>
  <c r="E60" i="5" s="1"/>
  <c r="E111" i="11" s="1"/>
  <c r="H78" i="29"/>
  <c r="H65" i="5" s="1"/>
  <c r="H132" i="11" s="1"/>
  <c r="C75" i="29"/>
  <c r="C62" i="5" s="1"/>
  <c r="C122" i="11" s="1"/>
  <c r="C74" i="29"/>
  <c r="C61" i="5" s="1"/>
  <c r="C116" i="11" s="1"/>
  <c r="G71" i="29"/>
  <c r="G58" i="5" s="1"/>
  <c r="G101" i="11" s="1"/>
  <c r="F71" i="29"/>
  <c r="F58" i="5" s="1"/>
  <c r="F101" i="11" s="1"/>
  <c r="C79" i="29"/>
  <c r="C66" i="5" s="1"/>
  <c r="C137" i="11" s="1"/>
  <c r="H75" i="29"/>
  <c r="H62" i="5" s="1"/>
  <c r="H122" i="11" s="1"/>
  <c r="G75" i="29"/>
  <c r="G62" i="5" s="1"/>
  <c r="G122" i="11" s="1"/>
  <c r="D78" i="29"/>
  <c r="D65" i="5" s="1"/>
  <c r="D132" i="11" s="1"/>
  <c r="E77" i="29"/>
  <c r="E64" i="5" s="1"/>
  <c r="E127" i="11" s="1"/>
  <c r="G77" i="29"/>
  <c r="G64" i="5" s="1"/>
  <c r="G127" i="11" s="1"/>
  <c r="G79" i="29"/>
  <c r="G66" i="5" s="1"/>
  <c r="G137" i="11" s="1"/>
  <c r="E75" i="29"/>
  <c r="E62" i="5" s="1"/>
  <c r="E122" i="11" s="1"/>
  <c r="D79" i="29"/>
  <c r="D66" i="5" s="1"/>
  <c r="D137" i="11" s="1"/>
  <c r="F78" i="29"/>
  <c r="F65" i="5" s="1"/>
  <c r="F132" i="11" s="1"/>
  <c r="E78" i="29"/>
  <c r="E65" i="5" s="1"/>
  <c r="E132" i="11" s="1"/>
  <c r="H77" i="29"/>
  <c r="H64" i="5" s="1"/>
  <c r="H127" i="11" s="1"/>
  <c r="D77" i="29"/>
  <c r="D64" i="5" s="1"/>
  <c r="D127" i="11" s="1"/>
  <c r="D75" i="29"/>
  <c r="D62" i="5" s="1"/>
  <c r="D122" i="11" s="1"/>
  <c r="F74" i="29"/>
  <c r="F61" i="5" s="1"/>
  <c r="F116" i="11" s="1"/>
  <c r="F77" i="29"/>
  <c r="F64" i="5" s="1"/>
  <c r="F127" i="11" s="1"/>
  <c r="F75" i="29"/>
  <c r="F62" i="5" s="1"/>
  <c r="F122" i="11" s="1"/>
  <c r="E74" i="29"/>
  <c r="E61" i="5" s="1"/>
  <c r="E116" i="11" s="1"/>
  <c r="C73" i="29"/>
  <c r="C60" i="5" s="1"/>
  <c r="C111" i="11" s="1"/>
  <c r="F72" i="29"/>
  <c r="F59" i="5" s="1"/>
  <c r="F106" i="11" s="1"/>
  <c r="C77" i="29"/>
  <c r="C64" i="5" s="1"/>
  <c r="C127" i="11" s="1"/>
  <c r="H35" i="5"/>
  <c r="G35" i="5"/>
  <c r="H72" i="29"/>
  <c r="H59" i="5" s="1"/>
  <c r="H106" i="11" s="1"/>
  <c r="E72" i="29"/>
  <c r="E59" i="5" s="1"/>
  <c r="E106" i="11" s="1"/>
  <c r="C78" i="29"/>
  <c r="C65" i="5" s="1"/>
  <c r="C132" i="11" s="1"/>
  <c r="H43" i="5"/>
  <c r="H79" i="29"/>
  <c r="H66" i="5" s="1"/>
  <c r="H137" i="11" s="1"/>
  <c r="E79" i="29"/>
  <c r="E66" i="5" s="1"/>
  <c r="E137" i="11" s="1"/>
  <c r="H71" i="29"/>
  <c r="H58" i="5" s="1"/>
  <c r="H101" i="11" s="1"/>
  <c r="G72" i="29"/>
  <c r="G59" i="5" s="1"/>
  <c r="G106" i="11" s="1"/>
  <c r="C71" i="29"/>
  <c r="C58" i="5" s="1"/>
  <c r="C101" i="11" s="1"/>
  <c r="G33" i="5"/>
  <c r="G37" i="5"/>
  <c r="G36" i="5"/>
  <c r="H37" i="5"/>
  <c r="F79" i="29"/>
  <c r="F66" i="5" s="1"/>
  <c r="F137" i="11" s="1"/>
  <c r="D72" i="29"/>
  <c r="D59" i="5" s="1"/>
  <c r="D106" i="11" s="1"/>
  <c r="H74" i="29"/>
  <c r="H61" i="5" s="1"/>
  <c r="H116" i="11" s="1"/>
  <c r="C68" i="29"/>
  <c r="H68" i="29"/>
  <c r="F68" i="29"/>
  <c r="E68" i="29"/>
  <c r="D68" i="29"/>
  <c r="G68" i="29"/>
  <c r="G69" i="29" s="1"/>
  <c r="E15" i="22" s="1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K11" i="28"/>
  <c r="AL11" i="28"/>
  <c r="AM11" i="28"/>
  <c r="AN11" i="28"/>
  <c r="N11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K7" i="28"/>
  <c r="AL7" i="28"/>
  <c r="AM7" i="28"/>
  <c r="AN7" i="28"/>
  <c r="N7" i="28"/>
  <c r="N6" i="28" s="1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K26" i="28"/>
  <c r="AL26" i="28"/>
  <c r="AM26" i="28"/>
  <c r="AN26" i="28"/>
  <c r="N26" i="28"/>
  <c r="N25" i="28" s="1"/>
  <c r="O25" i="28" s="1"/>
  <c r="P25" i="28" s="1"/>
  <c r="G10" i="28"/>
  <c r="G11" i="28" s="1"/>
  <c r="G14" i="28"/>
  <c r="G27" i="28" s="1"/>
  <c r="G29" i="28" s="1"/>
  <c r="I26" i="28"/>
  <c r="J26" i="28"/>
  <c r="K26" i="28"/>
  <c r="L26" i="28"/>
  <c r="M26" i="28"/>
  <c r="H26" i="28"/>
  <c r="I17" i="28"/>
  <c r="J17" i="28"/>
  <c r="K17" i="28"/>
  <c r="L17" i="28"/>
  <c r="M17" i="28"/>
  <c r="H17" i="28"/>
  <c r="G17" i="28"/>
  <c r="H5" i="28"/>
  <c r="I5" i="28" s="1"/>
  <c r="J5" i="28" s="1"/>
  <c r="K5" i="28" s="1"/>
  <c r="L5" i="28" s="1"/>
  <c r="M5" i="28" s="1"/>
  <c r="N5" i="28" s="1"/>
  <c r="H9" i="28"/>
  <c r="I9" i="28"/>
  <c r="J9" i="28"/>
  <c r="K9" i="28"/>
  <c r="L9" i="28"/>
  <c r="M9" i="28"/>
  <c r="N9" i="28" s="1"/>
  <c r="O9" i="28" s="1"/>
  <c r="P9" i="28" s="1"/>
  <c r="Q9" i="28" s="1"/>
  <c r="R9" i="28" s="1"/>
  <c r="S9" i="28" s="1"/>
  <c r="T9" i="28" s="1"/>
  <c r="U9" i="28" s="1"/>
  <c r="V9" i="28" s="1"/>
  <c r="W9" i="28" s="1"/>
  <c r="X9" i="28" s="1"/>
  <c r="Y9" i="28" s="1"/>
  <c r="Z9" i="28" s="1"/>
  <c r="AA9" i="28" s="1"/>
  <c r="AB9" i="28" s="1"/>
  <c r="AC9" i="28" s="1"/>
  <c r="AD9" i="28" s="1"/>
  <c r="AE9" i="28" s="1"/>
  <c r="AF9" i="28" s="1"/>
  <c r="AG9" i="28" s="1"/>
  <c r="AH9" i="28" s="1"/>
  <c r="AI9" i="28" s="1"/>
  <c r="AJ9" i="28" s="1"/>
  <c r="AK9" i="28" s="1"/>
  <c r="AL9" i="28" s="1"/>
  <c r="AM9" i="28" s="1"/>
  <c r="AN9" i="28" s="1"/>
  <c r="G9" i="28"/>
  <c r="I7" i="28"/>
  <c r="J7" i="28"/>
  <c r="K7" i="28"/>
  <c r="L7" i="28"/>
  <c r="M7" i="28"/>
  <c r="H7" i="28"/>
  <c r="H4" i="28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S4" i="28" s="1"/>
  <c r="T4" i="28" s="1"/>
  <c r="U4" i="28" s="1"/>
  <c r="V4" i="28" s="1"/>
  <c r="W4" i="28" s="1"/>
  <c r="X4" i="28" s="1"/>
  <c r="Y4" i="28" s="1"/>
  <c r="Z4" i="28" s="1"/>
  <c r="AA4" i="28" s="1"/>
  <c r="AB4" i="28" s="1"/>
  <c r="AC4" i="28" s="1"/>
  <c r="AD4" i="28" s="1"/>
  <c r="AE4" i="28" s="1"/>
  <c r="AF4" i="28" s="1"/>
  <c r="AG4" i="28" s="1"/>
  <c r="AH4" i="28" s="1"/>
  <c r="AI4" i="28" s="1"/>
  <c r="AJ4" i="28" s="1"/>
  <c r="AK4" i="28" s="1"/>
  <c r="AL4" i="28" s="1"/>
  <c r="AM4" i="28" s="1"/>
  <c r="AN4" i="28" s="1"/>
  <c r="L72" i="21"/>
  <c r="L73" i="21" s="1"/>
  <c r="L70" i="21"/>
  <c r="L69" i="21" s="1"/>
  <c r="E25" i="6"/>
  <c r="F25" i="6"/>
  <c r="G25" i="6"/>
  <c r="H25" i="6"/>
  <c r="D25" i="6"/>
  <c r="J49" i="11"/>
  <c r="K49" i="11" s="1"/>
  <c r="L49" i="11" s="1"/>
  <c r="M49" i="11" s="1"/>
  <c r="N49" i="11" s="1"/>
  <c r="O49" i="11" s="1"/>
  <c r="G28" i="23"/>
  <c r="G29" i="23"/>
  <c r="G30" i="23"/>
  <c r="G31" i="23"/>
  <c r="N63" i="23"/>
  <c r="M63" i="23"/>
  <c r="L63" i="23"/>
  <c r="K63" i="23"/>
  <c r="J63" i="23"/>
  <c r="I63" i="23"/>
  <c r="H63" i="23"/>
  <c r="G63" i="23"/>
  <c r="F63" i="23"/>
  <c r="E63" i="23"/>
  <c r="D63" i="23"/>
  <c r="N62" i="23"/>
  <c r="M62" i="23"/>
  <c r="L62" i="23"/>
  <c r="K62" i="23"/>
  <c r="J62" i="23"/>
  <c r="I62" i="23"/>
  <c r="H62" i="23"/>
  <c r="G62" i="23"/>
  <c r="F62" i="23"/>
  <c r="E62" i="23"/>
  <c r="D62" i="23"/>
  <c r="N61" i="23"/>
  <c r="M61" i="23"/>
  <c r="L61" i="23"/>
  <c r="K61" i="23"/>
  <c r="J61" i="23"/>
  <c r="I61" i="23"/>
  <c r="H61" i="23"/>
  <c r="G61" i="23"/>
  <c r="F61" i="23"/>
  <c r="E61" i="23"/>
  <c r="D61" i="23"/>
  <c r="N60" i="23"/>
  <c r="M60" i="23"/>
  <c r="L60" i="23"/>
  <c r="K60" i="23"/>
  <c r="J60" i="23"/>
  <c r="I60" i="23"/>
  <c r="H60" i="23"/>
  <c r="G60" i="23"/>
  <c r="F60" i="23"/>
  <c r="E60" i="23"/>
  <c r="D60" i="23"/>
  <c r="K48" i="23"/>
  <c r="J48" i="23"/>
  <c r="I48" i="23"/>
  <c r="H48" i="23"/>
  <c r="G48" i="23"/>
  <c r="F48" i="23"/>
  <c r="E48" i="23"/>
  <c r="D48" i="23"/>
  <c r="K47" i="23"/>
  <c r="J47" i="23"/>
  <c r="I47" i="23"/>
  <c r="H47" i="23"/>
  <c r="G47" i="23"/>
  <c r="F47" i="23"/>
  <c r="E47" i="23"/>
  <c r="D47" i="23"/>
  <c r="K46" i="23"/>
  <c r="J46" i="23"/>
  <c r="I46" i="23"/>
  <c r="H46" i="23"/>
  <c r="G46" i="23"/>
  <c r="F46" i="23"/>
  <c r="E46" i="23"/>
  <c r="D46" i="23"/>
  <c r="K45" i="23"/>
  <c r="J45" i="23"/>
  <c r="I45" i="23"/>
  <c r="H45" i="23"/>
  <c r="G45" i="23"/>
  <c r="F45" i="23"/>
  <c r="E45" i="23"/>
  <c r="D45" i="23"/>
  <c r="E31" i="23"/>
  <c r="F31" i="23"/>
  <c r="H31" i="23"/>
  <c r="I31" i="23"/>
  <c r="J31" i="23"/>
  <c r="K31" i="23"/>
  <c r="L31" i="23"/>
  <c r="M31" i="23"/>
  <c r="N31" i="23"/>
  <c r="E30" i="23"/>
  <c r="F30" i="23"/>
  <c r="H30" i="23"/>
  <c r="I30" i="23"/>
  <c r="J30" i="23"/>
  <c r="K30" i="23"/>
  <c r="L30" i="23"/>
  <c r="M30" i="23"/>
  <c r="N30" i="23"/>
  <c r="E29" i="23"/>
  <c r="F29" i="23"/>
  <c r="H29" i="23"/>
  <c r="I29" i="23"/>
  <c r="J29" i="23"/>
  <c r="K29" i="23"/>
  <c r="L29" i="23"/>
  <c r="M29" i="23"/>
  <c r="N29" i="23"/>
  <c r="E28" i="23"/>
  <c r="F28" i="23"/>
  <c r="H28" i="23"/>
  <c r="I28" i="23"/>
  <c r="J28" i="23"/>
  <c r="K28" i="23"/>
  <c r="L28" i="23"/>
  <c r="M28" i="23"/>
  <c r="N28" i="23"/>
  <c r="D31" i="23"/>
  <c r="D30" i="23"/>
  <c r="D29" i="23"/>
  <c r="D28" i="23"/>
  <c r="E16" i="23"/>
  <c r="F16" i="23"/>
  <c r="G16" i="23"/>
  <c r="H16" i="23"/>
  <c r="I16" i="23"/>
  <c r="J16" i="23"/>
  <c r="K16" i="23"/>
  <c r="D16" i="23"/>
  <c r="E15" i="23"/>
  <c r="F15" i="23"/>
  <c r="G15" i="23"/>
  <c r="H15" i="23"/>
  <c r="I15" i="23"/>
  <c r="J15" i="23"/>
  <c r="K15" i="23"/>
  <c r="D15" i="23"/>
  <c r="E14" i="23"/>
  <c r="F14" i="23"/>
  <c r="G14" i="23"/>
  <c r="H14" i="23"/>
  <c r="I14" i="23"/>
  <c r="J14" i="23"/>
  <c r="K14" i="23"/>
  <c r="D14" i="23"/>
  <c r="E13" i="23"/>
  <c r="F13" i="23"/>
  <c r="G13" i="23"/>
  <c r="H13" i="23"/>
  <c r="I13" i="23"/>
  <c r="J13" i="23"/>
  <c r="K13" i="23"/>
  <c r="D13" i="23"/>
  <c r="P68" i="21"/>
  <c r="Q68" i="21" s="1"/>
  <c r="N68" i="21"/>
  <c r="M68" i="21" s="1"/>
  <c r="N29" i="22"/>
  <c r="N27" i="22"/>
  <c r="H9" i="22"/>
  <c r="I9" i="22"/>
  <c r="J9" i="22"/>
  <c r="K9" i="22"/>
  <c r="L9" i="22"/>
  <c r="G9" i="22"/>
  <c r="N26" i="22"/>
  <c r="H20" i="22"/>
  <c r="I20" i="22" s="1"/>
  <c r="F16" i="22"/>
  <c r="E16" i="22"/>
  <c r="D51" i="3"/>
  <c r="E51" i="3"/>
  <c r="F51" i="3"/>
  <c r="G51" i="3"/>
  <c r="H51" i="3"/>
  <c r="C51" i="3"/>
  <c r="H26" i="5"/>
  <c r="G26" i="5"/>
  <c r="F14" i="22"/>
  <c r="E14" i="22"/>
  <c r="E8" i="22"/>
  <c r="F6" i="22"/>
  <c r="E6" i="22"/>
  <c r="H7" i="22"/>
  <c r="G7" i="22"/>
  <c r="F4" i="22"/>
  <c r="G4" i="22" s="1"/>
  <c r="H4" i="22" s="1"/>
  <c r="I4" i="22" s="1"/>
  <c r="J4" i="22" s="1"/>
  <c r="K4" i="22" s="1"/>
  <c r="L4" i="22" s="1"/>
  <c r="D69" i="29" l="1"/>
  <c r="H38" i="5"/>
  <c r="H45" i="5" s="1"/>
  <c r="G38" i="5"/>
  <c r="G45" i="5" s="1"/>
  <c r="E69" i="29"/>
  <c r="F69" i="29"/>
  <c r="H69" i="29"/>
  <c r="F15" i="22" s="1"/>
  <c r="Q25" i="28"/>
  <c r="R25" i="28"/>
  <c r="S25" i="28" s="1"/>
  <c r="T25" i="28" s="1"/>
  <c r="U25" i="28" s="1"/>
  <c r="V25" i="28" s="1"/>
  <c r="W25" i="28" s="1"/>
  <c r="X25" i="28" s="1"/>
  <c r="Y25" i="28" s="1"/>
  <c r="Z25" i="28" s="1"/>
  <c r="AA25" i="28" s="1"/>
  <c r="AB25" i="28" s="1"/>
  <c r="AC25" i="28" s="1"/>
  <c r="AD25" i="28" s="1"/>
  <c r="AE25" i="28" s="1"/>
  <c r="AF25" i="28" s="1"/>
  <c r="AG25" i="28" s="1"/>
  <c r="AH25" i="28" s="1"/>
  <c r="N8" i="28"/>
  <c r="N17" i="28" s="1"/>
  <c r="N10" i="28"/>
  <c r="N12" i="28" s="1"/>
  <c r="K10" i="28"/>
  <c r="K11" i="28" s="1"/>
  <c r="J10" i="28"/>
  <c r="J11" i="28" s="1"/>
  <c r="I10" i="28"/>
  <c r="I11" i="28" s="1"/>
  <c r="H10" i="28"/>
  <c r="H11" i="28" s="1"/>
  <c r="M10" i="28"/>
  <c r="M11" i="28" s="1"/>
  <c r="L10" i="28"/>
  <c r="L11" i="28" s="1"/>
  <c r="M14" i="28"/>
  <c r="L14" i="28"/>
  <c r="K14" i="28"/>
  <c r="J14" i="28"/>
  <c r="H14" i="28"/>
  <c r="I14" i="28"/>
  <c r="O6" i="28"/>
  <c r="J20" i="22"/>
  <c r="E9" i="22"/>
  <c r="F7" i="22"/>
  <c r="G6" i="22"/>
  <c r="G11" i="22" s="1"/>
  <c r="C72" i="21"/>
  <c r="C73" i="21" s="1"/>
  <c r="C70" i="21"/>
  <c r="C69" i="21" s="1"/>
  <c r="C43" i="22"/>
  <c r="C42" i="22"/>
  <c r="F35" i="21"/>
  <c r="G35" i="21" s="1"/>
  <c r="H35" i="21" s="1"/>
  <c r="I35" i="21" s="1"/>
  <c r="J35" i="21" s="1"/>
  <c r="D4" i="21"/>
  <c r="E4" i="21" s="1"/>
  <c r="F4" i="21" s="1"/>
  <c r="G4" i="21" s="1"/>
  <c r="H4" i="21" s="1"/>
  <c r="I4" i="21" s="1"/>
  <c r="J4" i="21" s="1"/>
  <c r="H46" i="5" l="1"/>
  <c r="D28" i="21" s="1"/>
  <c r="O8" i="28"/>
  <c r="O17" i="28" s="1"/>
  <c r="O10" i="28"/>
  <c r="AI25" i="28"/>
  <c r="K27" i="28"/>
  <c r="K29" i="28" s="1"/>
  <c r="I27" i="28"/>
  <c r="I29" i="28" s="1"/>
  <c r="H27" i="28"/>
  <c r="H29" i="28" s="1"/>
  <c r="J27" i="28"/>
  <c r="J29" i="28" s="1"/>
  <c r="L27" i="28"/>
  <c r="L29" i="28" s="1"/>
  <c r="M27" i="28"/>
  <c r="M29" i="28" s="1"/>
  <c r="P6" i="28"/>
  <c r="O5" i="28"/>
  <c r="N14" i="28"/>
  <c r="K20" i="22"/>
  <c r="G8" i="22"/>
  <c r="G12" i="22" s="1"/>
  <c r="G16" i="22"/>
  <c r="G14" i="22" s="1"/>
  <c r="G15" i="22"/>
  <c r="H6" i="22"/>
  <c r="D29" i="21"/>
  <c r="C29" i="21"/>
  <c r="D26" i="21"/>
  <c r="C26" i="21"/>
  <c r="H21" i="5"/>
  <c r="G21" i="5"/>
  <c r="H14" i="5"/>
  <c r="H16" i="5" s="1"/>
  <c r="G14" i="5"/>
  <c r="G16" i="5" s="1"/>
  <c r="H8" i="5"/>
  <c r="G8" i="5"/>
  <c r="C94" i="11"/>
  <c r="D94" i="11"/>
  <c r="E94" i="11"/>
  <c r="F94" i="11"/>
  <c r="G94" i="11"/>
  <c r="H94" i="11"/>
  <c r="C89" i="11"/>
  <c r="D89" i="11"/>
  <c r="E89" i="11"/>
  <c r="F89" i="11"/>
  <c r="G89" i="11"/>
  <c r="H89" i="11"/>
  <c r="F84" i="11"/>
  <c r="G84" i="11"/>
  <c r="H84" i="11"/>
  <c r="D74" i="11"/>
  <c r="D52" i="3"/>
  <c r="E52" i="3"/>
  <c r="F52" i="3"/>
  <c r="G52" i="3"/>
  <c r="H52" i="3"/>
  <c r="C52" i="3"/>
  <c r="D67" i="2"/>
  <c r="E67" i="2"/>
  <c r="F67" i="2"/>
  <c r="G67" i="2"/>
  <c r="H67" i="2"/>
  <c r="D68" i="2"/>
  <c r="D51" i="5" s="1"/>
  <c r="E68" i="2"/>
  <c r="E51" i="5" s="1"/>
  <c r="E74" i="11" s="1"/>
  <c r="F68" i="2"/>
  <c r="F51" i="5" s="1"/>
  <c r="F74" i="11" s="1"/>
  <c r="G68" i="2"/>
  <c r="G51" i="5" s="1"/>
  <c r="G74" i="11" s="1"/>
  <c r="H68" i="2"/>
  <c r="H51" i="5" s="1"/>
  <c r="H74" i="11" s="1"/>
  <c r="D70" i="2"/>
  <c r="E70" i="2"/>
  <c r="F70" i="2"/>
  <c r="G70" i="2"/>
  <c r="H70" i="2"/>
  <c r="D71" i="2"/>
  <c r="D53" i="5" s="1"/>
  <c r="D84" i="11" s="1"/>
  <c r="E71" i="2"/>
  <c r="E53" i="5" s="1"/>
  <c r="E84" i="11" s="1"/>
  <c r="F71" i="2"/>
  <c r="F53" i="5" s="1"/>
  <c r="G71" i="2"/>
  <c r="G53" i="5" s="1"/>
  <c r="H71" i="2"/>
  <c r="H53" i="5" s="1"/>
  <c r="C71" i="2"/>
  <c r="C53" i="5" s="1"/>
  <c r="C84" i="11" s="1"/>
  <c r="C70" i="2"/>
  <c r="C51" i="5"/>
  <c r="C74" i="11" s="1"/>
  <c r="C67" i="2"/>
  <c r="D66" i="2"/>
  <c r="D50" i="5" s="1"/>
  <c r="D68" i="11" s="1"/>
  <c r="E66" i="2"/>
  <c r="E50" i="5" s="1"/>
  <c r="E68" i="11" s="1"/>
  <c r="F66" i="2"/>
  <c r="F50" i="5" s="1"/>
  <c r="F68" i="11" s="1"/>
  <c r="G66" i="2"/>
  <c r="G50" i="5" s="1"/>
  <c r="G68" i="11" s="1"/>
  <c r="H66" i="2"/>
  <c r="H50" i="5" s="1"/>
  <c r="H68" i="11" s="1"/>
  <c r="C66" i="2"/>
  <c r="C50" i="5" s="1"/>
  <c r="C68" i="11" s="1"/>
  <c r="Q74" i="11" l="1"/>
  <c r="O12" i="28"/>
  <c r="P5" i="28" s="1"/>
  <c r="P8" i="28"/>
  <c r="P17" i="28" s="1"/>
  <c r="P10" i="28"/>
  <c r="Q6" i="28"/>
  <c r="Q10" i="28" s="1"/>
  <c r="AJ25" i="28"/>
  <c r="N27" i="28"/>
  <c r="N29" i="28" s="1"/>
  <c r="I6" i="22"/>
  <c r="I11" i="22" s="1"/>
  <c r="H11" i="22"/>
  <c r="D20" i="21"/>
  <c r="F11" i="22"/>
  <c r="C20" i="21"/>
  <c r="E11" i="22"/>
  <c r="E12" i="22" s="1"/>
  <c r="E19" i="22" s="1"/>
  <c r="G19" i="22"/>
  <c r="L20" i="22"/>
  <c r="H8" i="22"/>
  <c r="H15" i="22"/>
  <c r="H16" i="22"/>
  <c r="H14" i="22" s="1"/>
  <c r="H9" i="5"/>
  <c r="D11" i="21"/>
  <c r="C15" i="21"/>
  <c r="D15" i="21"/>
  <c r="G9" i="5"/>
  <c r="C11" i="21"/>
  <c r="L38" i="20"/>
  <c r="L39" i="20" s="1"/>
  <c r="L34" i="20"/>
  <c r="H8" i="20"/>
  <c r="H10" i="20"/>
  <c r="H9" i="20"/>
  <c r="G7" i="20"/>
  <c r="P43" i="20" s="1"/>
  <c r="P12" i="28" l="1"/>
  <c r="Q8" i="28"/>
  <c r="Q17" i="28" s="1"/>
  <c r="R6" i="28"/>
  <c r="R10" i="28" s="1"/>
  <c r="H12" i="22"/>
  <c r="H19" i="22" s="1"/>
  <c r="I16" i="22"/>
  <c r="I14" i="22" s="1"/>
  <c r="I15" i="22"/>
  <c r="AK25" i="28"/>
  <c r="O14" i="28"/>
  <c r="Q5" i="28"/>
  <c r="Q12" i="28" s="1"/>
  <c r="P14" i="28"/>
  <c r="S6" i="28"/>
  <c r="S10" i="28" s="1"/>
  <c r="R8" i="28"/>
  <c r="R17" i="28" s="1"/>
  <c r="J6" i="22"/>
  <c r="J11" i="22" s="1"/>
  <c r="I8" i="22"/>
  <c r="I12" i="22" s="1"/>
  <c r="G8" i="20"/>
  <c r="P44" i="20" s="1"/>
  <c r="G9" i="20"/>
  <c r="P45" i="20" s="1"/>
  <c r="G10" i="20"/>
  <c r="P46" i="20" s="1"/>
  <c r="I19" i="22" l="1"/>
  <c r="J8" i="22"/>
  <c r="J12" i="22" s="1"/>
  <c r="K6" i="22"/>
  <c r="K11" i="22" s="1"/>
  <c r="J15" i="22"/>
  <c r="J16" i="22"/>
  <c r="J14" i="22" s="1"/>
  <c r="AL25" i="28"/>
  <c r="P27" i="28"/>
  <c r="P29" i="28" s="1"/>
  <c r="O27" i="28"/>
  <c r="O29" i="28" s="1"/>
  <c r="R5" i="28"/>
  <c r="R12" i="28" s="1"/>
  <c r="Q14" i="28"/>
  <c r="S8" i="28"/>
  <c r="S17" i="28" s="1"/>
  <c r="T6" i="28"/>
  <c r="T10" i="28" s="1"/>
  <c r="L23" i="20"/>
  <c r="L26" i="20" s="1"/>
  <c r="L41" i="20" s="1"/>
  <c r="C34" i="21" s="1"/>
  <c r="H7" i="20"/>
  <c r="D40" i="11"/>
  <c r="E40" i="11"/>
  <c r="F40" i="11"/>
  <c r="G40" i="11"/>
  <c r="C40" i="11"/>
  <c r="D35" i="11"/>
  <c r="E35" i="11"/>
  <c r="F35" i="11"/>
  <c r="G35" i="11"/>
  <c r="C35" i="11"/>
  <c r="D30" i="11"/>
  <c r="E30" i="11"/>
  <c r="F30" i="11"/>
  <c r="G30" i="11"/>
  <c r="C30" i="11"/>
  <c r="D24" i="11"/>
  <c r="E24" i="11"/>
  <c r="F24" i="11"/>
  <c r="G24" i="11"/>
  <c r="C24" i="11"/>
  <c r="D19" i="11"/>
  <c r="E19" i="11"/>
  <c r="F19" i="11"/>
  <c r="G19" i="11"/>
  <c r="C19" i="11"/>
  <c r="D14" i="11"/>
  <c r="E14" i="11"/>
  <c r="F14" i="11"/>
  <c r="G14" i="11"/>
  <c r="C14" i="11"/>
  <c r="D9" i="11"/>
  <c r="E9" i="11"/>
  <c r="F9" i="11"/>
  <c r="G9" i="11"/>
  <c r="C9" i="11"/>
  <c r="O2" i="11"/>
  <c r="Q2" i="11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M101" i="11" l="1"/>
  <c r="M58" i="5" s="1"/>
  <c r="O79" i="11"/>
  <c r="M79" i="11"/>
  <c r="M52" i="5" s="1"/>
  <c r="L79" i="11"/>
  <c r="L52" i="5" s="1"/>
  <c r="K79" i="11"/>
  <c r="K52" i="5" s="1"/>
  <c r="J79" i="11"/>
  <c r="J52" i="5" s="1"/>
  <c r="I79" i="11"/>
  <c r="I52" i="5" s="1"/>
  <c r="N79" i="11"/>
  <c r="N52" i="5" s="1"/>
  <c r="D21" i="22"/>
  <c r="K8" i="22"/>
  <c r="K12" i="22" s="1"/>
  <c r="K16" i="22"/>
  <c r="K14" i="22" s="1"/>
  <c r="L6" i="22"/>
  <c r="L11" i="22" s="1"/>
  <c r="K15" i="22"/>
  <c r="J19" i="22"/>
  <c r="AM25" i="28"/>
  <c r="Q27" i="28"/>
  <c r="Q29" i="28" s="1"/>
  <c r="S5" i="28"/>
  <c r="S12" i="28" s="1"/>
  <c r="R14" i="28"/>
  <c r="U6" i="28"/>
  <c r="U10" i="28" s="1"/>
  <c r="T8" i="28"/>
  <c r="T17" i="28" s="1"/>
  <c r="D150" i="11"/>
  <c r="I44" i="21" s="1"/>
  <c r="D145" i="11"/>
  <c r="C45" i="21" s="1"/>
  <c r="O52" i="11"/>
  <c r="N10" i="7" s="1"/>
  <c r="K52" i="11"/>
  <c r="J10" i="7" s="1"/>
  <c r="I52" i="11"/>
  <c r="H10" i="7" s="1"/>
  <c r="N52" i="11"/>
  <c r="M10" i="7" s="1"/>
  <c r="L52" i="11"/>
  <c r="K10" i="7" s="1"/>
  <c r="M52" i="11"/>
  <c r="L10" i="7" s="1"/>
  <c r="J52" i="11"/>
  <c r="I10" i="7" s="1"/>
  <c r="K137" i="11"/>
  <c r="K66" i="5" s="1"/>
  <c r="M127" i="11"/>
  <c r="M64" i="5" s="1"/>
  <c r="J137" i="11"/>
  <c r="J66" i="5" s="1"/>
  <c r="L127" i="11"/>
  <c r="L64" i="5" s="1"/>
  <c r="I137" i="11"/>
  <c r="I66" i="5" s="1"/>
  <c r="K127" i="11"/>
  <c r="K64" i="5" s="1"/>
  <c r="O132" i="11"/>
  <c r="J127" i="11"/>
  <c r="J64" i="5" s="1"/>
  <c r="N132" i="11"/>
  <c r="N65" i="5" s="1"/>
  <c r="I127" i="11"/>
  <c r="I64" i="5" s="1"/>
  <c r="M132" i="11"/>
  <c r="M65" i="5" s="1"/>
  <c r="O122" i="11"/>
  <c r="L132" i="11"/>
  <c r="L65" i="5" s="1"/>
  <c r="N122" i="11"/>
  <c r="N62" i="5" s="1"/>
  <c r="K132" i="11"/>
  <c r="K65" i="5" s="1"/>
  <c r="M122" i="11"/>
  <c r="M62" i="5" s="1"/>
  <c r="O137" i="11"/>
  <c r="J132" i="11"/>
  <c r="J65" i="5" s="1"/>
  <c r="L122" i="11"/>
  <c r="L62" i="5" s="1"/>
  <c r="N137" i="11"/>
  <c r="N66" i="5" s="1"/>
  <c r="I132" i="11"/>
  <c r="I65" i="5" s="1"/>
  <c r="K122" i="11"/>
  <c r="K62" i="5" s="1"/>
  <c r="M137" i="11"/>
  <c r="M66" i="5" s="1"/>
  <c r="O127" i="11"/>
  <c r="J122" i="11"/>
  <c r="J62" i="5" s="1"/>
  <c r="L137" i="11"/>
  <c r="L66" i="5" s="1"/>
  <c r="N127" i="11"/>
  <c r="N64" i="5" s="1"/>
  <c r="I122" i="11"/>
  <c r="I62" i="5" s="1"/>
  <c r="N111" i="11"/>
  <c r="N60" i="5" s="1"/>
  <c r="I106" i="11"/>
  <c r="I59" i="5" s="1"/>
  <c r="K106" i="11"/>
  <c r="K59" i="5" s="1"/>
  <c r="M111" i="11"/>
  <c r="M60" i="5" s="1"/>
  <c r="O101" i="11"/>
  <c r="N116" i="11"/>
  <c r="N61" i="5" s="1"/>
  <c r="O106" i="11"/>
  <c r="L116" i="11"/>
  <c r="L61" i="5" s="1"/>
  <c r="J116" i="11"/>
  <c r="J61" i="5" s="1"/>
  <c r="I116" i="11"/>
  <c r="I61" i="5" s="1"/>
  <c r="J106" i="11"/>
  <c r="J59" i="5" s="1"/>
  <c r="L111" i="11"/>
  <c r="L60" i="5" s="1"/>
  <c r="N101" i="11"/>
  <c r="N58" i="5" s="1"/>
  <c r="K101" i="11"/>
  <c r="K58" i="5" s="1"/>
  <c r="M116" i="11"/>
  <c r="M61" i="5" s="1"/>
  <c r="N106" i="11"/>
  <c r="N59" i="5" s="1"/>
  <c r="K116" i="11"/>
  <c r="K61" i="5" s="1"/>
  <c r="K111" i="11"/>
  <c r="K60" i="5" s="1"/>
  <c r="J101" i="11"/>
  <c r="J58" i="5" s="1"/>
  <c r="I101" i="11"/>
  <c r="I58" i="5" s="1"/>
  <c r="M106" i="11"/>
  <c r="M59" i="5" s="1"/>
  <c r="L106" i="11"/>
  <c r="L59" i="5" s="1"/>
  <c r="O111" i="11"/>
  <c r="O116" i="11"/>
  <c r="J111" i="11"/>
  <c r="J60" i="5" s="1"/>
  <c r="L101" i="11"/>
  <c r="L58" i="5" s="1"/>
  <c r="I111" i="11"/>
  <c r="I60" i="5" s="1"/>
  <c r="O94" i="11"/>
  <c r="J89" i="11"/>
  <c r="J55" i="5" s="1"/>
  <c r="N94" i="11"/>
  <c r="N56" i="5" s="1"/>
  <c r="I89" i="11"/>
  <c r="I55" i="5" s="1"/>
  <c r="M89" i="11"/>
  <c r="M55" i="5" s="1"/>
  <c r="K89" i="11"/>
  <c r="K55" i="5" s="1"/>
  <c r="M94" i="11"/>
  <c r="M56" i="5" s="1"/>
  <c r="J94" i="11"/>
  <c r="J56" i="5" s="1"/>
  <c r="O89" i="11"/>
  <c r="L89" i="11"/>
  <c r="L55" i="5" s="1"/>
  <c r="L94" i="11"/>
  <c r="L56" i="5" s="1"/>
  <c r="I94" i="11"/>
  <c r="I56" i="5" s="1"/>
  <c r="K94" i="11"/>
  <c r="K56" i="5" s="1"/>
  <c r="N89" i="11"/>
  <c r="N55" i="5" s="1"/>
  <c r="N47" i="11"/>
  <c r="N84" i="11"/>
  <c r="N53" i="5" s="1"/>
  <c r="M84" i="11"/>
  <c r="M53" i="5" s="1"/>
  <c r="O74" i="11"/>
  <c r="J84" i="11"/>
  <c r="J53" i="5" s="1"/>
  <c r="I68" i="11"/>
  <c r="I50" i="5" s="1"/>
  <c r="I84" i="11"/>
  <c r="I53" i="5" s="1"/>
  <c r="J74" i="11"/>
  <c r="J51" i="5" s="1"/>
  <c r="L84" i="11"/>
  <c r="L53" i="5" s="1"/>
  <c r="N74" i="11"/>
  <c r="N51" i="5" s="1"/>
  <c r="K84" i="11"/>
  <c r="K53" i="5" s="1"/>
  <c r="M74" i="11"/>
  <c r="M51" i="5" s="1"/>
  <c r="J68" i="11"/>
  <c r="J50" i="5" s="1"/>
  <c r="L74" i="11"/>
  <c r="L51" i="5" s="1"/>
  <c r="K74" i="11"/>
  <c r="K51" i="5" s="1"/>
  <c r="I74" i="11"/>
  <c r="I51" i="5" s="1"/>
  <c r="O84" i="11"/>
  <c r="K68" i="11"/>
  <c r="K50" i="5" s="1"/>
  <c r="L68" i="11"/>
  <c r="L50" i="5" s="1"/>
  <c r="M68" i="11"/>
  <c r="M50" i="5" s="1"/>
  <c r="O68" i="11"/>
  <c r="N68" i="11"/>
  <c r="N50" i="5" s="1"/>
  <c r="N30" i="11"/>
  <c r="N18" i="6" s="1"/>
  <c r="K35" i="11"/>
  <c r="K19" i="6" s="1"/>
  <c r="J30" i="11"/>
  <c r="J18" i="6" s="1"/>
  <c r="O47" i="11"/>
  <c r="J47" i="11"/>
  <c r="I62" i="11"/>
  <c r="H22" i="7" s="1"/>
  <c r="O40" i="11"/>
  <c r="O21" i="6" s="1"/>
  <c r="O62" i="11"/>
  <c r="N22" i="7" s="1"/>
  <c r="M40" i="11"/>
  <c r="M21" i="6" s="1"/>
  <c r="N62" i="11"/>
  <c r="M22" i="7" s="1"/>
  <c r="M62" i="11"/>
  <c r="L22" i="7" s="1"/>
  <c r="L62" i="11"/>
  <c r="K22" i="7" s="1"/>
  <c r="K62" i="11"/>
  <c r="J22" i="7" s="1"/>
  <c r="J62" i="11"/>
  <c r="I22" i="7" s="1"/>
  <c r="I57" i="11"/>
  <c r="H17" i="7" s="1"/>
  <c r="J57" i="11"/>
  <c r="I17" i="7" s="1"/>
  <c r="K57" i="11"/>
  <c r="J17" i="7" s="1"/>
  <c r="N40" i="11"/>
  <c r="N21" i="6" s="1"/>
  <c r="I47" i="11"/>
  <c r="H9" i="7" s="1"/>
  <c r="L57" i="11"/>
  <c r="K17" i="7" s="1"/>
  <c r="M57" i="11"/>
  <c r="L17" i="7" s="1"/>
  <c r="N35" i="11"/>
  <c r="N19" i="6" s="1"/>
  <c r="I40" i="11"/>
  <c r="I21" i="6" s="1"/>
  <c r="K47" i="11"/>
  <c r="N57" i="11"/>
  <c r="M17" i="7" s="1"/>
  <c r="J40" i="11"/>
  <c r="J21" i="6" s="1"/>
  <c r="L47" i="11"/>
  <c r="O57" i="11"/>
  <c r="N17" i="7" s="1"/>
  <c r="K40" i="11"/>
  <c r="K21" i="6" s="1"/>
  <c r="M47" i="11"/>
  <c r="L40" i="11"/>
  <c r="L21" i="6" s="1"/>
  <c r="J24" i="11"/>
  <c r="J10" i="6" s="1"/>
  <c r="I24" i="11"/>
  <c r="I10" i="6" s="1"/>
  <c r="J19" i="11"/>
  <c r="J9" i="6" s="1"/>
  <c r="K19" i="22" l="1"/>
  <c r="H8" i="7"/>
  <c r="L15" i="22"/>
  <c r="L16" i="22"/>
  <c r="L14" i="22" s="1"/>
  <c r="L8" i="22"/>
  <c r="I29" i="22" s="1"/>
  <c r="G21" i="22"/>
  <c r="G22" i="22" s="1"/>
  <c r="H21" i="22"/>
  <c r="H22" i="22" s="1"/>
  <c r="I21" i="22"/>
  <c r="I22" i="22" s="1"/>
  <c r="J21" i="22"/>
  <c r="J22" i="22" s="1"/>
  <c r="K21" i="22"/>
  <c r="K22" i="22" s="1"/>
  <c r="L21" i="22"/>
  <c r="J36" i="21"/>
  <c r="I36" i="21"/>
  <c r="H36" i="21"/>
  <c r="G36" i="21"/>
  <c r="F36" i="21"/>
  <c r="E36" i="21"/>
  <c r="E77" i="21"/>
  <c r="D77" i="21" s="1"/>
  <c r="G77" i="21"/>
  <c r="H77" i="21" s="1"/>
  <c r="AN25" i="28"/>
  <c r="R27" i="28"/>
  <c r="R29" i="28" s="1"/>
  <c r="T5" i="28"/>
  <c r="T12" i="28" s="1"/>
  <c r="S14" i="28"/>
  <c r="V6" i="28"/>
  <c r="V10" i="28" s="1"/>
  <c r="U8" i="28"/>
  <c r="U17" i="28" s="1"/>
  <c r="N9" i="7"/>
  <c r="N8" i="7" s="1"/>
  <c r="K9" i="7"/>
  <c r="K8" i="7" s="1"/>
  <c r="L9" i="7"/>
  <c r="L8" i="7" s="1"/>
  <c r="J9" i="7"/>
  <c r="J8" i="7" s="1"/>
  <c r="M9" i="7"/>
  <c r="M8" i="7" s="1"/>
  <c r="I9" i="7"/>
  <c r="I8" i="7" s="1"/>
  <c r="O35" i="11"/>
  <c r="O19" i="6" s="1"/>
  <c r="K30" i="11"/>
  <c r="K18" i="6" s="1"/>
  <c r="J35" i="11"/>
  <c r="J19" i="6" s="1"/>
  <c r="L14" i="11"/>
  <c r="L8" i="6" s="1"/>
  <c r="O30" i="11"/>
  <c r="O18" i="6" s="1"/>
  <c r="L35" i="11"/>
  <c r="L19" i="6" s="1"/>
  <c r="L30" i="11"/>
  <c r="L18" i="6" s="1"/>
  <c r="M35" i="11"/>
  <c r="M19" i="6" s="1"/>
  <c r="I35" i="11"/>
  <c r="I19" i="6" s="1"/>
  <c r="I30" i="11"/>
  <c r="I18" i="6" s="1"/>
  <c r="M30" i="11"/>
  <c r="M18" i="6" s="1"/>
  <c r="K24" i="11"/>
  <c r="K10" i="6" s="1"/>
  <c r="J9" i="11"/>
  <c r="J7" i="6" s="1"/>
  <c r="I9" i="11"/>
  <c r="I7" i="6" s="1"/>
  <c r="K14" i="11"/>
  <c r="K8" i="6" s="1"/>
  <c r="J14" i="11"/>
  <c r="J8" i="6" s="1"/>
  <c r="I14" i="11"/>
  <c r="I8" i="6" s="1"/>
  <c r="I19" i="11"/>
  <c r="I9" i="6" s="1"/>
  <c r="K19" i="11"/>
  <c r="K9" i="6" s="1"/>
  <c r="K9" i="11"/>
  <c r="K7" i="6" s="1"/>
  <c r="L12" i="22" l="1"/>
  <c r="L19" i="22" s="1"/>
  <c r="S27" i="28"/>
  <c r="S29" i="28" s="1"/>
  <c r="U5" i="28"/>
  <c r="U12" i="28" s="1"/>
  <c r="T14" i="28"/>
  <c r="W6" i="28"/>
  <c r="W10" i="28" s="1"/>
  <c r="V8" i="28"/>
  <c r="V17" i="28" s="1"/>
  <c r="C30" i="22"/>
  <c r="C31" i="22" s="1"/>
  <c r="C33" i="22" s="1"/>
  <c r="L22" i="22"/>
  <c r="M14" i="11"/>
  <c r="M8" i="6" s="1"/>
  <c r="L24" i="11"/>
  <c r="L10" i="6" s="1"/>
  <c r="L19" i="11"/>
  <c r="L9" i="6" s="1"/>
  <c r="O14" i="11"/>
  <c r="O8" i="6" s="1"/>
  <c r="N14" i="11"/>
  <c r="N8" i="6" s="1"/>
  <c r="L9" i="11"/>
  <c r="L7" i="6" s="1"/>
  <c r="T27" i="28" l="1"/>
  <c r="T29" i="28" s="1"/>
  <c r="V5" i="28"/>
  <c r="V12" i="28" s="1"/>
  <c r="U14" i="28"/>
  <c r="W8" i="28"/>
  <c r="W17" i="28" s="1"/>
  <c r="X6" i="28"/>
  <c r="X10" i="28" s="1"/>
  <c r="C26" i="22"/>
  <c r="C36" i="22" s="1"/>
  <c r="I26" i="22"/>
  <c r="M24" i="11"/>
  <c r="M10" i="6" s="1"/>
  <c r="M19" i="11"/>
  <c r="M9" i="6" s="1"/>
  <c r="M9" i="11"/>
  <c r="M7" i="6" s="1"/>
  <c r="U27" i="28" l="1"/>
  <c r="U29" i="28" s="1"/>
  <c r="W5" i="28"/>
  <c r="W12" i="28" s="1"/>
  <c r="V14" i="28"/>
  <c r="X8" i="28"/>
  <c r="X17" i="28" s="1"/>
  <c r="Y6" i="28"/>
  <c r="Y10" i="28" s="1"/>
  <c r="O24" i="11"/>
  <c r="O10" i="6" s="1"/>
  <c r="N24" i="11"/>
  <c r="N10" i="6" s="1"/>
  <c r="O19" i="11"/>
  <c r="O9" i="6" s="1"/>
  <c r="N19" i="11"/>
  <c r="N9" i="6" s="1"/>
  <c r="N9" i="11"/>
  <c r="N7" i="6" s="1"/>
  <c r="V27" i="28" l="1"/>
  <c r="V29" i="28" s="1"/>
  <c r="X5" i="28"/>
  <c r="X12" i="28" s="1"/>
  <c r="W14" i="28"/>
  <c r="Y8" i="28"/>
  <c r="Y17" i="28" s="1"/>
  <c r="Z6" i="28"/>
  <c r="Z10" i="28" s="1"/>
  <c r="O9" i="11"/>
  <c r="O7" i="6" s="1"/>
  <c r="W27" i="28" l="1"/>
  <c r="W29" i="28" s="1"/>
  <c r="Y5" i="28"/>
  <c r="Y12" i="28" s="1"/>
  <c r="X14" i="28"/>
  <c r="Z8" i="28"/>
  <c r="Z17" i="28" s="1"/>
  <c r="AA6" i="28"/>
  <c r="AA10" i="28" s="1"/>
  <c r="H3" i="5"/>
  <c r="I3" i="5" s="1"/>
  <c r="J3" i="5" s="1"/>
  <c r="K3" i="5" s="1"/>
  <c r="L3" i="5" s="1"/>
  <c r="M3" i="5" s="1"/>
  <c r="N3" i="5" s="1"/>
  <c r="I20" i="6"/>
  <c r="J20" i="6"/>
  <c r="K20" i="6"/>
  <c r="L20" i="6"/>
  <c r="M20" i="6"/>
  <c r="N20" i="6"/>
  <c r="O20" i="6"/>
  <c r="C41" i="7"/>
  <c r="D41" i="7"/>
  <c r="E41" i="7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C27" i="6"/>
  <c r="D20" i="6"/>
  <c r="E20" i="6"/>
  <c r="F20" i="6"/>
  <c r="G20" i="6"/>
  <c r="C20" i="6"/>
  <c r="C24" i="6" s="1"/>
  <c r="C13" i="6"/>
  <c r="D6" i="6" s="1"/>
  <c r="D13" i="6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X27" i="28" l="1"/>
  <c r="X29" i="28" s="1"/>
  <c r="Z5" i="28"/>
  <c r="Z12" i="28" s="1"/>
  <c r="Y14" i="28"/>
  <c r="AA8" i="28"/>
  <c r="AA17" i="28" s="1"/>
  <c r="AB6" i="28"/>
  <c r="AB10" i="28" s="1"/>
  <c r="E6" i="6"/>
  <c r="E13" i="6" s="1"/>
  <c r="D14" i="6"/>
  <c r="D30" i="7"/>
  <c r="D5" i="7" s="1"/>
  <c r="C30" i="7"/>
  <c r="C5" i="7" s="1"/>
  <c r="D6" i="7"/>
  <c r="D42" i="7"/>
  <c r="D17" i="6"/>
  <c r="D24" i="6" s="1"/>
  <c r="C31" i="7" s="1"/>
  <c r="C14" i="7" s="1"/>
  <c r="C28" i="6"/>
  <c r="C29" i="6" s="1"/>
  <c r="D27" i="6"/>
  <c r="Y27" i="28" l="1"/>
  <c r="Y29" i="28" s="1"/>
  <c r="AA5" i="28"/>
  <c r="AA12" i="28" s="1"/>
  <c r="Z14" i="28"/>
  <c r="AB8" i="28"/>
  <c r="AB17" i="28" s="1"/>
  <c r="AC6" i="28"/>
  <c r="AC10" i="28" s="1"/>
  <c r="C42" i="7"/>
  <c r="F6" i="6"/>
  <c r="F13" i="6" s="1"/>
  <c r="E14" i="6"/>
  <c r="C30" i="6"/>
  <c r="C47" i="7"/>
  <c r="C16" i="7" s="1"/>
  <c r="C19" i="7" s="1"/>
  <c r="E17" i="6"/>
  <c r="E24" i="6" s="1"/>
  <c r="D31" i="7" s="1"/>
  <c r="D28" i="6"/>
  <c r="D29" i="6" s="1"/>
  <c r="Z27" i="28" l="1"/>
  <c r="Z29" i="28" s="1"/>
  <c r="AB5" i="28"/>
  <c r="AB12" i="28" s="1"/>
  <c r="AA14" i="28"/>
  <c r="AD6" i="28"/>
  <c r="AC8" i="28"/>
  <c r="AC17" i="28" s="1"/>
  <c r="G6" i="6"/>
  <c r="G13" i="6" s="1"/>
  <c r="F14" i="6"/>
  <c r="E30" i="7"/>
  <c r="D30" i="6"/>
  <c r="C32" i="7"/>
  <c r="C43" i="7" s="1"/>
  <c r="D47" i="7"/>
  <c r="D16" i="7" s="1"/>
  <c r="D14" i="7"/>
  <c r="D15" i="7" s="1"/>
  <c r="E27" i="6"/>
  <c r="AE6" i="28" l="1"/>
  <c r="AE10" i="28" s="1"/>
  <c r="AD10" i="28"/>
  <c r="AA27" i="28"/>
  <c r="AA29" i="28" s="1"/>
  <c r="AC5" i="28"/>
  <c r="AC12" i="28" s="1"/>
  <c r="AB14" i="28"/>
  <c r="AD8" i="28"/>
  <c r="AD17" i="28" s="1"/>
  <c r="E5" i="7"/>
  <c r="E6" i="7" s="1"/>
  <c r="E42" i="7"/>
  <c r="H6" i="6"/>
  <c r="H13" i="6" s="1"/>
  <c r="G14" i="6"/>
  <c r="F30" i="7"/>
  <c r="F5" i="7" s="1"/>
  <c r="F6" i="7" s="1"/>
  <c r="D19" i="7"/>
  <c r="D17" i="7"/>
  <c r="E57" i="11" s="1"/>
  <c r="C7" i="7"/>
  <c r="C44" i="7"/>
  <c r="F17" i="6"/>
  <c r="F24" i="6" s="1"/>
  <c r="E31" i="7" s="1"/>
  <c r="E28" i="6"/>
  <c r="E29" i="6" s="1"/>
  <c r="AE8" i="28" l="1"/>
  <c r="AE17" i="28" s="1"/>
  <c r="AF6" i="28"/>
  <c r="AF10" i="28" s="1"/>
  <c r="AB27" i="28"/>
  <c r="AB29" i="28" s="1"/>
  <c r="AD5" i="28"/>
  <c r="AD12" i="28" s="1"/>
  <c r="AC14" i="28"/>
  <c r="G30" i="7"/>
  <c r="G5" i="7" s="1"/>
  <c r="G6" i="7" s="1"/>
  <c r="H14" i="6"/>
  <c r="I6" i="6"/>
  <c r="I13" i="6" s="1"/>
  <c r="E47" i="7"/>
  <c r="E16" i="7" s="1"/>
  <c r="E14" i="7"/>
  <c r="E15" i="7" s="1"/>
  <c r="C12" i="7"/>
  <c r="C21" i="7" s="1"/>
  <c r="E30" i="6"/>
  <c r="D32" i="7"/>
  <c r="D43" i="7" s="1"/>
  <c r="F27" i="6"/>
  <c r="AF8" i="28" l="1"/>
  <c r="AF17" i="28" s="1"/>
  <c r="AG6" i="28"/>
  <c r="AG10" i="28" s="1"/>
  <c r="AD14" i="28"/>
  <c r="AD27" i="28" s="1"/>
  <c r="AD29" i="28" s="1"/>
  <c r="AE5" i="28"/>
  <c r="AE12" i="28" s="1"/>
  <c r="AG8" i="28"/>
  <c r="AG17" i="28" s="1"/>
  <c r="AH6" i="28"/>
  <c r="AH10" i="28" s="1"/>
  <c r="AC27" i="28"/>
  <c r="AC29" i="28" s="1"/>
  <c r="I14" i="6"/>
  <c r="H30" i="7"/>
  <c r="H5" i="7" s="1"/>
  <c r="H6" i="7" s="1"/>
  <c r="J6" i="6"/>
  <c r="J13" i="6" s="1"/>
  <c r="D7" i="7"/>
  <c r="D44" i="7"/>
  <c r="C22" i="7"/>
  <c r="E17" i="7"/>
  <c r="F57" i="11" s="1"/>
  <c r="F16" i="7"/>
  <c r="E19" i="7"/>
  <c r="G17" i="6"/>
  <c r="G24" i="6" s="1"/>
  <c r="F31" i="7" s="1"/>
  <c r="F14" i="7" s="1"/>
  <c r="F15" i="7" s="1"/>
  <c r="F28" i="6"/>
  <c r="F29" i="6" s="1"/>
  <c r="AI6" i="28" l="1"/>
  <c r="AI10" i="28" s="1"/>
  <c r="AH8" i="28"/>
  <c r="AH17" i="28" s="1"/>
  <c r="AE14" i="28"/>
  <c r="AE27" i="28" s="1"/>
  <c r="AE29" i="28" s="1"/>
  <c r="AF5" i="28"/>
  <c r="AF12" i="28" s="1"/>
  <c r="J14" i="6"/>
  <c r="I30" i="7"/>
  <c r="I5" i="7" s="1"/>
  <c r="I6" i="7" s="1"/>
  <c r="K6" i="6"/>
  <c r="K13" i="6" s="1"/>
  <c r="K14" i="6" s="1"/>
  <c r="C23" i="7"/>
  <c r="D62" i="11"/>
  <c r="G16" i="7"/>
  <c r="H16" i="7" s="1"/>
  <c r="I16" i="7" s="1"/>
  <c r="J16" i="7" s="1"/>
  <c r="K16" i="7" s="1"/>
  <c r="L16" i="7" s="1"/>
  <c r="F19" i="7"/>
  <c r="C25" i="7"/>
  <c r="F30" i="6"/>
  <c r="E32" i="7"/>
  <c r="E43" i="7" s="1"/>
  <c r="D8" i="7"/>
  <c r="D12" i="7"/>
  <c r="D21" i="7" s="1"/>
  <c r="G27" i="6"/>
  <c r="AG5" i="28" l="1"/>
  <c r="AG12" i="28" s="1"/>
  <c r="AF14" i="28"/>
  <c r="AF27" i="28" s="1"/>
  <c r="AF29" i="28" s="1"/>
  <c r="AJ6" i="28"/>
  <c r="AJ10" i="28" s="1"/>
  <c r="AI8" i="28"/>
  <c r="AI17" i="28" s="1"/>
  <c r="J30" i="7"/>
  <c r="J5" i="7" s="1"/>
  <c r="J6" i="7" s="1"/>
  <c r="L6" i="6"/>
  <c r="L13" i="6" s="1"/>
  <c r="L14" i="6" s="1"/>
  <c r="E7" i="7"/>
  <c r="E44" i="7"/>
  <c r="D22" i="7"/>
  <c r="D25" i="7" s="1"/>
  <c r="M16" i="7"/>
  <c r="H17" i="6"/>
  <c r="H24" i="6" s="1"/>
  <c r="G28" i="6"/>
  <c r="G29" i="6" s="1"/>
  <c r="AK6" i="28" l="1"/>
  <c r="AK10" i="28" s="1"/>
  <c r="AJ8" i="28"/>
  <c r="AJ17" i="28" s="1"/>
  <c r="AH5" i="28"/>
  <c r="AH12" i="28" s="1"/>
  <c r="AG14" i="28"/>
  <c r="AG27" i="28" s="1"/>
  <c r="AG29" i="28" s="1"/>
  <c r="G30" i="6"/>
  <c r="F32" i="7"/>
  <c r="F43" i="7" s="1"/>
  <c r="F7" i="7" s="1"/>
  <c r="D26" i="7"/>
  <c r="D23" i="7"/>
  <c r="E62" i="11"/>
  <c r="E12" i="7"/>
  <c r="E21" i="7" s="1"/>
  <c r="E8" i="7"/>
  <c r="G31" i="7"/>
  <c r="G14" i="7" s="1"/>
  <c r="I17" i="6"/>
  <c r="K30" i="7"/>
  <c r="K5" i="7" s="1"/>
  <c r="K6" i="7" s="1"/>
  <c r="M6" i="6"/>
  <c r="N16" i="7"/>
  <c r="H28" i="6"/>
  <c r="H27" i="6"/>
  <c r="AI5" i="28" l="1"/>
  <c r="AI12" i="28" s="1"/>
  <c r="AH14" i="28"/>
  <c r="AH27" i="28" s="1"/>
  <c r="AH29" i="28" s="1"/>
  <c r="AK8" i="28"/>
  <c r="AK17" i="28" s="1"/>
  <c r="AL6" i="28"/>
  <c r="AL10" i="28" s="1"/>
  <c r="G32" i="7"/>
  <c r="G43" i="7" s="1"/>
  <c r="G7" i="7" s="1"/>
  <c r="H29" i="6"/>
  <c r="E22" i="7"/>
  <c r="E25" i="7" s="1"/>
  <c r="F8" i="7"/>
  <c r="F12" i="7"/>
  <c r="F21" i="7" s="1"/>
  <c r="F22" i="7" s="1"/>
  <c r="I24" i="6"/>
  <c r="I25" i="6" s="1"/>
  <c r="I27" i="6"/>
  <c r="G15" i="7"/>
  <c r="G19" i="7"/>
  <c r="H7" i="7"/>
  <c r="G12" i="7"/>
  <c r="G8" i="7"/>
  <c r="M13" i="6"/>
  <c r="M14" i="6" s="1"/>
  <c r="H30" i="6"/>
  <c r="AM6" i="28" l="1"/>
  <c r="AM10" i="28" s="1"/>
  <c r="AL8" i="28"/>
  <c r="AL17" i="28" s="1"/>
  <c r="AJ5" i="28"/>
  <c r="AJ12" i="28" s="1"/>
  <c r="AI14" i="28"/>
  <c r="AI27" i="28" s="1"/>
  <c r="AI29" i="28" s="1"/>
  <c r="E26" i="7"/>
  <c r="F25" i="7"/>
  <c r="G62" i="11"/>
  <c r="G21" i="7"/>
  <c r="G22" i="7" s="1"/>
  <c r="E23" i="7"/>
  <c r="F62" i="11"/>
  <c r="J17" i="6"/>
  <c r="H31" i="7"/>
  <c r="H14" i="7" s="1"/>
  <c r="H15" i="7" s="1"/>
  <c r="I28" i="6"/>
  <c r="I29" i="6" s="1"/>
  <c r="I7" i="7"/>
  <c r="H12" i="7"/>
  <c r="N6" i="6"/>
  <c r="L30" i="7"/>
  <c r="L5" i="7" s="1"/>
  <c r="L6" i="7" s="1"/>
  <c r="AM8" i="28" l="1"/>
  <c r="AM17" i="28" s="1"/>
  <c r="AN6" i="28"/>
  <c r="AN10" i="28" s="1"/>
  <c r="AJ14" i="28"/>
  <c r="AJ27" i="28" s="1"/>
  <c r="AJ29" i="28" s="1"/>
  <c r="AK5" i="28"/>
  <c r="AK12" i="28" s="1"/>
  <c r="G25" i="7"/>
  <c r="H62" i="11"/>
  <c r="G5" i="5"/>
  <c r="F26" i="7"/>
  <c r="H19" i="7"/>
  <c r="I30" i="6"/>
  <c r="H32" i="7"/>
  <c r="J24" i="6"/>
  <c r="J25" i="6" s="1"/>
  <c r="J27" i="6"/>
  <c r="N13" i="6"/>
  <c r="N14" i="6" s="1"/>
  <c r="J7" i="7"/>
  <c r="I12" i="7"/>
  <c r="AN8" i="28" l="1"/>
  <c r="AN17" i="28" s="1"/>
  <c r="AK14" i="28"/>
  <c r="AK27" i="28" s="1"/>
  <c r="AK29" i="28" s="1"/>
  <c r="AL5" i="28"/>
  <c r="AL12" i="28" s="1"/>
  <c r="G6" i="5"/>
  <c r="G11" i="5" s="1"/>
  <c r="G18" i="5" s="1"/>
  <c r="C6" i="21"/>
  <c r="C12" i="21" s="1"/>
  <c r="C18" i="21" s="1"/>
  <c r="H21" i="7"/>
  <c r="H5" i="5"/>
  <c r="G26" i="7"/>
  <c r="K17" i="6"/>
  <c r="I31" i="7"/>
  <c r="I14" i="7" s="1"/>
  <c r="J28" i="6"/>
  <c r="J29" i="6" s="1"/>
  <c r="K7" i="7"/>
  <c r="J12" i="7"/>
  <c r="M30" i="7"/>
  <c r="M5" i="7" s="1"/>
  <c r="M6" i="7" s="1"/>
  <c r="O6" i="6"/>
  <c r="H25" i="7" l="1"/>
  <c r="H26" i="7" s="1"/>
  <c r="AL14" i="28"/>
  <c r="AL27" i="28" s="1"/>
  <c r="AL29" i="28" s="1"/>
  <c r="AM5" i="28"/>
  <c r="AM12" i="28" s="1"/>
  <c r="G24" i="5"/>
  <c r="G22" i="5"/>
  <c r="G12" i="5"/>
  <c r="G19" i="5"/>
  <c r="G27" i="5"/>
  <c r="H6" i="5"/>
  <c r="H11" i="5" s="1"/>
  <c r="H18" i="5" s="1"/>
  <c r="H22" i="5" s="1"/>
  <c r="D6" i="21"/>
  <c r="C13" i="21"/>
  <c r="I19" i="7"/>
  <c r="I15" i="7"/>
  <c r="I32" i="7"/>
  <c r="J30" i="6"/>
  <c r="K24" i="6"/>
  <c r="K25" i="6" s="1"/>
  <c r="K27" i="6"/>
  <c r="O13" i="6"/>
  <c r="O14" i="6" s="1"/>
  <c r="L7" i="7"/>
  <c r="K12" i="7"/>
  <c r="I5" i="5" l="1"/>
  <c r="E6" i="21" s="1"/>
  <c r="AN5" i="28"/>
  <c r="AM14" i="28"/>
  <c r="AM27" i="28" s="1"/>
  <c r="AM29" i="28" s="1"/>
  <c r="H12" i="5"/>
  <c r="H27" i="5"/>
  <c r="H24" i="5"/>
  <c r="F8" i="22"/>
  <c r="C22" i="21"/>
  <c r="C27" i="21" s="1"/>
  <c r="C31" i="21" s="1"/>
  <c r="C19" i="21"/>
  <c r="H19" i="5"/>
  <c r="D7" i="21"/>
  <c r="D12" i="21"/>
  <c r="D18" i="21" s="1"/>
  <c r="I21" i="7"/>
  <c r="I25" i="7" s="1"/>
  <c r="J5" i="5" s="1"/>
  <c r="L17" i="6"/>
  <c r="J31" i="7"/>
  <c r="J14" i="7" s="1"/>
  <c r="K28" i="6"/>
  <c r="K29" i="6" s="1"/>
  <c r="M7" i="7"/>
  <c r="L12" i="7"/>
  <c r="N30" i="7"/>
  <c r="N5" i="7" s="1"/>
  <c r="N6" i="7" s="1"/>
  <c r="I8" i="5" l="1"/>
  <c r="I35" i="5" s="1"/>
  <c r="I6" i="5"/>
  <c r="I14" i="5"/>
  <c r="I26" i="5"/>
  <c r="E26" i="21" s="1"/>
  <c r="I21" i="5"/>
  <c r="I29" i="5"/>
  <c r="E29" i="21" s="1"/>
  <c r="AN12" i="28"/>
  <c r="AN14" i="28" s="1"/>
  <c r="AN27" i="28" s="1"/>
  <c r="AN29" i="28" s="1"/>
  <c r="F9" i="22"/>
  <c r="F12" i="22"/>
  <c r="F19" i="22" s="1"/>
  <c r="D13" i="21"/>
  <c r="E7" i="21"/>
  <c r="F6" i="21"/>
  <c r="J29" i="5"/>
  <c r="F29" i="21" s="1"/>
  <c r="J21" i="5"/>
  <c r="J26" i="5"/>
  <c r="J14" i="5"/>
  <c r="J6" i="5"/>
  <c r="J15" i="5" s="1"/>
  <c r="F16" i="21" s="1"/>
  <c r="J8" i="5"/>
  <c r="I26" i="7"/>
  <c r="J19" i="7"/>
  <c r="J15" i="7"/>
  <c r="J32" i="7"/>
  <c r="K30" i="6"/>
  <c r="L24" i="6"/>
  <c r="L25" i="6" s="1"/>
  <c r="L27" i="6"/>
  <c r="N7" i="7"/>
  <c r="N12" i="7" s="1"/>
  <c r="M12" i="7"/>
  <c r="I34" i="5" l="1"/>
  <c r="I15" i="5"/>
  <c r="E16" i="21" s="1"/>
  <c r="F15" i="21"/>
  <c r="J16" i="5"/>
  <c r="E15" i="21"/>
  <c r="I16" i="5"/>
  <c r="F20" i="21"/>
  <c r="E20" i="21"/>
  <c r="I42" i="5"/>
  <c r="I33" i="5"/>
  <c r="I41" i="5"/>
  <c r="I9" i="5"/>
  <c r="I11" i="5" s="1"/>
  <c r="I40" i="5"/>
  <c r="I37" i="5"/>
  <c r="E11" i="21"/>
  <c r="E12" i="21" s="1"/>
  <c r="I36" i="5"/>
  <c r="J37" i="5"/>
  <c r="J36" i="5"/>
  <c r="J35" i="5"/>
  <c r="J42" i="5"/>
  <c r="J33" i="5"/>
  <c r="J34" i="5"/>
  <c r="J40" i="5"/>
  <c r="J41" i="5"/>
  <c r="F11" i="21"/>
  <c r="F12" i="21" s="1"/>
  <c r="F18" i="21" s="1"/>
  <c r="F26" i="21"/>
  <c r="D19" i="21"/>
  <c r="D22" i="21"/>
  <c r="D27" i="21" s="1"/>
  <c r="D31" i="21" s="1"/>
  <c r="F7" i="21"/>
  <c r="J9" i="5"/>
  <c r="J21" i="7"/>
  <c r="J25" i="7" s="1"/>
  <c r="K5" i="5" s="1"/>
  <c r="M17" i="6"/>
  <c r="K31" i="7"/>
  <c r="K14" i="7" s="1"/>
  <c r="L28" i="6"/>
  <c r="L29" i="6" s="1"/>
  <c r="I43" i="5" l="1"/>
  <c r="E18" i="21"/>
  <c r="E22" i="21" s="1"/>
  <c r="E27" i="21" s="1"/>
  <c r="I38" i="5"/>
  <c r="E13" i="21"/>
  <c r="J43" i="5"/>
  <c r="J38" i="5"/>
  <c r="F19" i="21"/>
  <c r="F22" i="21"/>
  <c r="F13" i="21"/>
  <c r="G6" i="21"/>
  <c r="I18" i="5"/>
  <c r="I24" i="5" s="1"/>
  <c r="I12" i="5"/>
  <c r="J11" i="5"/>
  <c r="K26" i="5"/>
  <c r="K29" i="5"/>
  <c r="G29" i="21" s="1"/>
  <c r="K14" i="5"/>
  <c r="K21" i="5"/>
  <c r="K8" i="5"/>
  <c r="K6" i="5"/>
  <c r="K15" i="5" s="1"/>
  <c r="G16" i="21" s="1"/>
  <c r="J26" i="7"/>
  <c r="K19" i="7"/>
  <c r="K15" i="7"/>
  <c r="K32" i="7"/>
  <c r="L30" i="6"/>
  <c r="M24" i="6"/>
  <c r="M25" i="6" s="1"/>
  <c r="M27" i="6"/>
  <c r="E19" i="21" l="1"/>
  <c r="G15" i="21"/>
  <c r="K16" i="5"/>
  <c r="G20" i="21"/>
  <c r="F27" i="21"/>
  <c r="K36" i="5"/>
  <c r="K37" i="5"/>
  <c r="K35" i="5"/>
  <c r="K42" i="5"/>
  <c r="K33" i="5"/>
  <c r="K34" i="5"/>
  <c r="I45" i="5"/>
  <c r="I46" i="5" s="1"/>
  <c r="E28" i="21" s="1"/>
  <c r="K41" i="5"/>
  <c r="K40" i="5"/>
  <c r="G11" i="21"/>
  <c r="G12" i="21" s="1"/>
  <c r="G18" i="21" s="1"/>
  <c r="G26" i="21"/>
  <c r="I27" i="5"/>
  <c r="G7" i="21"/>
  <c r="I22" i="5"/>
  <c r="I19" i="5"/>
  <c r="J18" i="5"/>
  <c r="J24" i="5" s="1"/>
  <c r="J12" i="5"/>
  <c r="K9" i="5"/>
  <c r="K21" i="7"/>
  <c r="K25" i="7" s="1"/>
  <c r="K26" i="7" s="1"/>
  <c r="N17" i="6"/>
  <c r="L31" i="7"/>
  <c r="L14" i="7" s="1"/>
  <c r="M28" i="6"/>
  <c r="M29" i="6" s="1"/>
  <c r="G19" i="21" l="1"/>
  <c r="K43" i="5"/>
  <c r="K38" i="5"/>
  <c r="E31" i="21"/>
  <c r="E37" i="21" s="1"/>
  <c r="J45" i="5"/>
  <c r="J46" i="5" s="1"/>
  <c r="F28" i="21" s="1"/>
  <c r="F31" i="21" s="1"/>
  <c r="J22" i="5"/>
  <c r="J27" i="5"/>
  <c r="G13" i="21"/>
  <c r="J19" i="5"/>
  <c r="K11" i="5"/>
  <c r="L5" i="5"/>
  <c r="L19" i="7"/>
  <c r="L15" i="7"/>
  <c r="L32" i="7"/>
  <c r="M30" i="6"/>
  <c r="N24" i="6"/>
  <c r="N25" i="6" s="1"/>
  <c r="N27" i="6"/>
  <c r="G22" i="21" l="1"/>
  <c r="G27" i="21" s="1"/>
  <c r="K45" i="5"/>
  <c r="K46" i="5" s="1"/>
  <c r="G28" i="21" s="1"/>
  <c r="F37" i="21"/>
  <c r="F32" i="21"/>
  <c r="H6" i="21"/>
  <c r="K18" i="5"/>
  <c r="K24" i="5" s="1"/>
  <c r="K12" i="5"/>
  <c r="L26" i="5"/>
  <c r="L29" i="5"/>
  <c r="H29" i="21" s="1"/>
  <c r="L14" i="5"/>
  <c r="L21" i="5"/>
  <c r="L8" i="5"/>
  <c r="L6" i="5"/>
  <c r="L15" i="5" s="1"/>
  <c r="H16" i="21" s="1"/>
  <c r="L21" i="7"/>
  <c r="L25" i="7" s="1"/>
  <c r="M5" i="5" s="1"/>
  <c r="O17" i="6"/>
  <c r="M31" i="7"/>
  <c r="M14" i="7" s="1"/>
  <c r="N28" i="6"/>
  <c r="N29" i="6" s="1"/>
  <c r="H15" i="21" l="1"/>
  <c r="L16" i="5"/>
  <c r="H20" i="21"/>
  <c r="L35" i="5"/>
  <c r="L37" i="5"/>
  <c r="L36" i="5"/>
  <c r="L42" i="5"/>
  <c r="L34" i="5"/>
  <c r="L33" i="5"/>
  <c r="L40" i="5"/>
  <c r="L41" i="5"/>
  <c r="H11" i="21"/>
  <c r="H12" i="21" s="1"/>
  <c r="H18" i="21" s="1"/>
  <c r="H26" i="21"/>
  <c r="K22" i="5"/>
  <c r="K27" i="5"/>
  <c r="H7" i="21"/>
  <c r="I6" i="21"/>
  <c r="K19" i="5"/>
  <c r="G31" i="21"/>
  <c r="L9" i="5"/>
  <c r="M29" i="5"/>
  <c r="I29" i="21" s="1"/>
  <c r="M21" i="5"/>
  <c r="M26" i="5"/>
  <c r="M14" i="5"/>
  <c r="M6" i="5"/>
  <c r="M15" i="5" s="1"/>
  <c r="I16" i="21" s="1"/>
  <c r="M8" i="5"/>
  <c r="L26" i="7"/>
  <c r="M19" i="7"/>
  <c r="M15" i="7"/>
  <c r="M32" i="7"/>
  <c r="N30" i="6"/>
  <c r="O24" i="6"/>
  <c r="O25" i="6" s="1"/>
  <c r="O27" i="6"/>
  <c r="H19" i="21" l="1"/>
  <c r="I15" i="21"/>
  <c r="M16" i="5"/>
  <c r="I20" i="21"/>
  <c r="L43" i="5"/>
  <c r="L38" i="5"/>
  <c r="M36" i="5"/>
  <c r="M37" i="5"/>
  <c r="M35" i="5"/>
  <c r="M42" i="5"/>
  <c r="M33" i="5"/>
  <c r="M34" i="5"/>
  <c r="M40" i="5"/>
  <c r="M41" i="5"/>
  <c r="I11" i="21"/>
  <c r="I12" i="21" s="1"/>
  <c r="I18" i="21" s="1"/>
  <c r="G37" i="21"/>
  <c r="G32" i="21"/>
  <c r="I26" i="21"/>
  <c r="H13" i="21"/>
  <c r="I7" i="21"/>
  <c r="L11" i="5"/>
  <c r="M9" i="5"/>
  <c r="M21" i="7"/>
  <c r="M25" i="7" s="1"/>
  <c r="N5" i="5" s="1"/>
  <c r="N31" i="7"/>
  <c r="N14" i="7" s="1"/>
  <c r="O28" i="6"/>
  <c r="O29" i="6" s="1"/>
  <c r="H22" i="21" l="1"/>
  <c r="H27" i="21" s="1"/>
  <c r="I19" i="21"/>
  <c r="M38" i="5"/>
  <c r="M43" i="5"/>
  <c r="L45" i="5"/>
  <c r="L46" i="5" s="1"/>
  <c r="H28" i="21" s="1"/>
  <c r="I13" i="21"/>
  <c r="J6" i="21"/>
  <c r="L18" i="5"/>
  <c r="L24" i="5" s="1"/>
  <c r="L12" i="5"/>
  <c r="M11" i="5"/>
  <c r="N26" i="5"/>
  <c r="N29" i="5"/>
  <c r="J29" i="21" s="1"/>
  <c r="N14" i="5"/>
  <c r="N21" i="5"/>
  <c r="N8" i="5"/>
  <c r="N6" i="5"/>
  <c r="N15" i="5" s="1"/>
  <c r="J16" i="21" s="1"/>
  <c r="M26" i="7"/>
  <c r="N19" i="7"/>
  <c r="N21" i="7" s="1"/>
  <c r="N25" i="7" s="1"/>
  <c r="N15" i="7"/>
  <c r="O30" i="6"/>
  <c r="N32" i="7"/>
  <c r="I22" i="21" l="1"/>
  <c r="I27" i="21" s="1"/>
  <c r="J15" i="21"/>
  <c r="N16" i="5"/>
  <c r="J20" i="21"/>
  <c r="N35" i="5"/>
  <c r="N36" i="5"/>
  <c r="N37" i="5"/>
  <c r="N42" i="5"/>
  <c r="N34" i="5"/>
  <c r="N33" i="5"/>
  <c r="N40" i="5"/>
  <c r="N41" i="5"/>
  <c r="J11" i="21"/>
  <c r="J12" i="21" s="1"/>
  <c r="J18" i="21" s="1"/>
  <c r="J26" i="21"/>
  <c r="L27" i="5"/>
  <c r="J7" i="21"/>
  <c r="L22" i="5"/>
  <c r="L19" i="5"/>
  <c r="M18" i="5"/>
  <c r="M24" i="5" s="1"/>
  <c r="M12" i="5"/>
  <c r="H31" i="21"/>
  <c r="N9" i="5"/>
  <c r="N26" i="7"/>
  <c r="C44" i="21" l="1"/>
  <c r="N43" i="5"/>
  <c r="N38" i="5"/>
  <c r="M45" i="5"/>
  <c r="M46" i="5" s="1"/>
  <c r="H37" i="21"/>
  <c r="H32" i="21"/>
  <c r="M27" i="5"/>
  <c r="J13" i="21"/>
  <c r="M19" i="5"/>
  <c r="M22" i="5"/>
  <c r="N11" i="5"/>
  <c r="J22" i="21" l="1"/>
  <c r="J27" i="21" s="1"/>
  <c r="J19" i="21"/>
  <c r="I28" i="21"/>
  <c r="I31" i="21" s="1"/>
  <c r="N18" i="5"/>
  <c r="N24" i="5" s="1"/>
  <c r="N12" i="5"/>
  <c r="I37" i="21" l="1"/>
  <c r="I32" i="21"/>
  <c r="N45" i="5"/>
  <c r="N46" i="5" s="1"/>
  <c r="J28" i="21" s="1"/>
  <c r="J31" i="21" s="1"/>
  <c r="N27" i="5"/>
  <c r="N22" i="5"/>
  <c r="N19" i="5"/>
  <c r="J37" i="21" l="1"/>
  <c r="C41" i="21" s="1"/>
  <c r="J32" i="21"/>
  <c r="I45" i="21" s="1"/>
  <c r="I31" i="22"/>
  <c r="I33" i="22" s="1"/>
  <c r="C46" i="21" l="1"/>
  <c r="C48" i="21" s="1"/>
  <c r="I41" i="21"/>
  <c r="I36" i="22"/>
  <c r="I43" i="22" s="1"/>
  <c r="C41" i="22" s="1"/>
  <c r="I46" i="21" l="1"/>
  <c r="I34" i="22"/>
  <c r="I48" i="21" l="1"/>
  <c r="C51" i="21"/>
  <c r="C45" i="22"/>
  <c r="C48" i="22" s="1"/>
  <c r="C34" i="22"/>
  <c r="C49" i="21" l="1"/>
  <c r="C55" i="21"/>
  <c r="I51" i="21"/>
  <c r="G19" i="28"/>
  <c r="H16" i="28" s="1"/>
  <c r="I55" i="21" l="1"/>
  <c r="I59" i="21" s="1"/>
  <c r="I62" i="21" s="1"/>
  <c r="C59" i="21"/>
  <c r="I49" i="21"/>
  <c r="G20" i="28"/>
  <c r="H18" i="28" s="1"/>
  <c r="G22" i="28"/>
  <c r="G23" i="28" s="1"/>
  <c r="G31" i="28" s="1"/>
  <c r="C62" i="21" l="1"/>
  <c r="H19" i="28"/>
  <c r="O57" i="21" l="1"/>
  <c r="L68" i="21" s="1"/>
  <c r="I16" i="28"/>
  <c r="H22" i="28"/>
  <c r="H23" i="28" s="1"/>
  <c r="H31" i="28" s="1"/>
  <c r="H32" i="28" s="1"/>
  <c r="H20" i="28"/>
  <c r="I18" i="28" s="1"/>
  <c r="C68" i="21" l="1"/>
  <c r="C77" i="21"/>
  <c r="M23" i="17"/>
  <c r="M24" i="17" s="1"/>
  <c r="I19" i="28"/>
  <c r="J16" i="28" s="1"/>
  <c r="I20" i="28" l="1"/>
  <c r="J18" i="28" s="1"/>
  <c r="I22" i="28"/>
  <c r="I23" i="28" s="1"/>
  <c r="I31" i="28" s="1"/>
  <c r="I32" i="28" s="1"/>
  <c r="J19" i="28" l="1"/>
  <c r="J20" i="28" l="1"/>
  <c r="K18" i="28" s="1"/>
  <c r="J22" i="28"/>
  <c r="J23" i="28" s="1"/>
  <c r="J31" i="28" s="1"/>
  <c r="J32" i="28" s="1"/>
  <c r="K16" i="28"/>
  <c r="K19" i="28" s="1"/>
  <c r="K22" i="28" s="1"/>
  <c r="K23" i="28" s="1"/>
  <c r="K31" i="28" s="1"/>
  <c r="L16" i="28" l="1"/>
  <c r="K32" i="28"/>
  <c r="K20" i="28"/>
  <c r="L18" i="28" s="1"/>
  <c r="L19" i="28" l="1"/>
  <c r="L20" i="28" l="1"/>
  <c r="M18" i="28" s="1"/>
  <c r="L22" i="28"/>
  <c r="L23" i="28" s="1"/>
  <c r="L31" i="28" s="1"/>
  <c r="L32" i="28" s="1"/>
  <c r="M16" i="28"/>
  <c r="M19" i="28" s="1"/>
  <c r="N16" i="28" s="1"/>
  <c r="M22" i="28"/>
  <c r="M23" i="28" s="1"/>
  <c r="M31" i="28" s="1"/>
  <c r="M32" i="28" s="1"/>
  <c r="M20" i="28"/>
  <c r="N18" i="28" s="1"/>
  <c r="N19" i="28" l="1"/>
  <c r="N22" i="28" l="1"/>
  <c r="N23" i="28" s="1"/>
  <c r="N31" i="28" s="1"/>
  <c r="N32" i="28" s="1"/>
  <c r="O16" i="28"/>
  <c r="N20" i="28"/>
  <c r="O18" i="28" s="1"/>
  <c r="O19" i="28" l="1"/>
  <c r="P16" i="28" s="1"/>
  <c r="O20" i="28" l="1"/>
  <c r="P18" i="28" s="1"/>
  <c r="O22" i="28"/>
  <c r="O23" i="28" s="1"/>
  <c r="O31" i="28" s="1"/>
  <c r="O32" i="28" s="1"/>
  <c r="P19" i="28" l="1"/>
  <c r="P22" i="28" l="1"/>
  <c r="P23" i="28" s="1"/>
  <c r="P31" i="28" s="1"/>
  <c r="P32" i="28" s="1"/>
  <c r="P20" i="28"/>
  <c r="Q16" i="28"/>
  <c r="Q18" i="28" l="1"/>
  <c r="Q19" i="28" s="1"/>
  <c r="R16" i="28" l="1"/>
  <c r="Q22" i="28"/>
  <c r="Q23" i="28" s="1"/>
  <c r="Q31" i="28" s="1"/>
  <c r="Q32" i="28" s="1"/>
  <c r="Q20" i="28"/>
  <c r="R18" i="28" s="1"/>
  <c r="R19" i="28" s="1"/>
  <c r="S16" i="28" l="1"/>
  <c r="R20" i="28"/>
  <c r="S18" i="28" s="1"/>
  <c r="R22" i="28"/>
  <c r="R23" i="28" s="1"/>
  <c r="R31" i="28" s="1"/>
  <c r="R32" i="28" s="1"/>
  <c r="S19" i="28" l="1"/>
  <c r="S20" i="28" l="1"/>
  <c r="T18" i="28" s="1"/>
  <c r="T16" i="28"/>
  <c r="S22" i="28"/>
  <c r="S23" i="28" s="1"/>
  <c r="S31" i="28" s="1"/>
  <c r="S32" i="28" s="1"/>
  <c r="T19" i="28" l="1"/>
  <c r="T22" i="28" s="1"/>
  <c r="T23" i="28" s="1"/>
  <c r="T31" i="28" s="1"/>
  <c r="T20" i="28"/>
  <c r="U18" i="28" s="1"/>
  <c r="U16" i="28"/>
  <c r="T32" i="28"/>
  <c r="U19" i="28" l="1"/>
  <c r="V16" i="28" s="1"/>
  <c r="U20" i="28" l="1"/>
  <c r="U22" i="28"/>
  <c r="U23" i="28" s="1"/>
  <c r="U31" i="28" s="1"/>
  <c r="U32" i="28" s="1"/>
  <c r="V18" i="28" l="1"/>
  <c r="V19" i="28" s="1"/>
  <c r="V20" i="28" l="1"/>
  <c r="W18" i="28" s="1"/>
  <c r="W16" i="28"/>
  <c r="V22" i="28"/>
  <c r="V23" i="28" s="1"/>
  <c r="V31" i="28" s="1"/>
  <c r="V32" i="28" s="1"/>
  <c r="W19" i="28"/>
  <c r="W20" i="28" s="1"/>
  <c r="X18" i="28" s="1"/>
  <c r="W22" i="28" l="1"/>
  <c r="W23" i="28" s="1"/>
  <c r="W31" i="28" s="1"/>
  <c r="W32" i="28" s="1"/>
  <c r="X16" i="28"/>
  <c r="X19" i="28" s="1"/>
  <c r="X22" i="28" s="1"/>
  <c r="X23" i="28" s="1"/>
  <c r="X31" i="28" s="1"/>
  <c r="X32" i="28" l="1"/>
  <c r="Y16" i="28"/>
  <c r="X20" i="28"/>
  <c r="Y18" i="28" s="1"/>
  <c r="Y19" i="28" l="1"/>
  <c r="Y22" i="28" l="1"/>
  <c r="Y23" i="28" s="1"/>
  <c r="Y31" i="28" s="1"/>
  <c r="Y32" i="28" s="1"/>
  <c r="Z16" i="28"/>
  <c r="Y20" i="28"/>
  <c r="Z18" i="28" s="1"/>
  <c r="Z19" i="28" l="1"/>
  <c r="AA16" i="28" l="1"/>
  <c r="Z20" i="28"/>
  <c r="AA18" i="28" s="1"/>
  <c r="Z22" i="28"/>
  <c r="Z23" i="28" s="1"/>
  <c r="Z31" i="28" s="1"/>
  <c r="Z32" i="28" s="1"/>
  <c r="AA19" i="28" l="1"/>
  <c r="AA20" i="28" l="1"/>
  <c r="AB18" i="28" s="1"/>
  <c r="AB16" i="28"/>
  <c r="AA22" i="28"/>
  <c r="AA23" i="28" s="1"/>
  <c r="AA31" i="28" s="1"/>
  <c r="AA32" i="28" s="1"/>
  <c r="AB19" i="28" l="1"/>
  <c r="AC16" i="28" s="1"/>
  <c r="AB22" i="28"/>
  <c r="AB23" i="28" s="1"/>
  <c r="AB31" i="28" s="1"/>
  <c r="AB32" i="28" s="1"/>
  <c r="AB20" i="28" l="1"/>
  <c r="AC18" i="28" s="1"/>
  <c r="AC19" i="28"/>
  <c r="AC22" i="28" l="1"/>
  <c r="AC23" i="28" s="1"/>
  <c r="AC31" i="28" s="1"/>
  <c r="AC32" i="28" s="1"/>
  <c r="AD16" i="28"/>
  <c r="AC20" i="28"/>
  <c r="AD18" i="28" s="1"/>
  <c r="AD19" i="28" l="1"/>
  <c r="AD20" i="28" l="1"/>
  <c r="AE18" i="28" s="1"/>
  <c r="AE16" i="28"/>
  <c r="AD22" i="28"/>
  <c r="AD23" i="28" s="1"/>
  <c r="AD31" i="28" s="1"/>
  <c r="AD32" i="28" s="1"/>
  <c r="AE19" i="28" l="1"/>
  <c r="AE20" i="28" s="1"/>
  <c r="AF18" i="28" s="1"/>
  <c r="AF16" i="28" l="1"/>
  <c r="AF19" i="28" s="1"/>
  <c r="AE22" i="28"/>
  <c r="AE23" i="28" s="1"/>
  <c r="AE31" i="28" s="1"/>
  <c r="AE32" i="28" s="1"/>
  <c r="AG16" i="28" l="1"/>
  <c r="AF22" i="28"/>
  <c r="AF23" i="28" s="1"/>
  <c r="AF31" i="28" s="1"/>
  <c r="AF32" i="28" s="1"/>
  <c r="AF20" i="28"/>
  <c r="AG18" i="28" s="1"/>
  <c r="AG19" i="28" l="1"/>
  <c r="AH16" i="28" s="1"/>
  <c r="AG20" i="28"/>
  <c r="AH18" i="28" s="1"/>
  <c r="AG22" i="28"/>
  <c r="AG23" i="28" s="1"/>
  <c r="AG31" i="28" s="1"/>
  <c r="AG32" i="28" s="1"/>
  <c r="AH19" i="28" l="1"/>
  <c r="AH20" i="28" l="1"/>
  <c r="AI18" i="28" s="1"/>
  <c r="AH22" i="28"/>
  <c r="AH23" i="28" s="1"/>
  <c r="AH31" i="28" s="1"/>
  <c r="AH32" i="28" s="1"/>
  <c r="AI16" i="28"/>
  <c r="AI19" i="28" l="1"/>
  <c r="AI20" i="28" s="1"/>
  <c r="AJ18" i="28" s="1"/>
  <c r="AI22" i="28"/>
  <c r="AI23" i="28" s="1"/>
  <c r="AI31" i="28" s="1"/>
  <c r="AI32" i="28" s="1"/>
  <c r="AJ16" i="28" l="1"/>
  <c r="AJ19" i="28"/>
  <c r="AJ20" i="28" l="1"/>
  <c r="AK18" i="28" s="1"/>
  <c r="AK16" i="28"/>
  <c r="AJ22" i="28"/>
  <c r="AJ23" i="28" s="1"/>
  <c r="AJ31" i="28" s="1"/>
  <c r="AJ32" i="28" s="1"/>
  <c r="AK19" i="28" l="1"/>
  <c r="AL16" i="28" s="1"/>
  <c r="AK20" i="28" l="1"/>
  <c r="AL18" i="28" s="1"/>
  <c r="AL19" i="28" s="1"/>
  <c r="AK22" i="28"/>
  <c r="AK23" i="28" s="1"/>
  <c r="AK31" i="28" s="1"/>
  <c r="AK32" i="28" s="1"/>
  <c r="AL20" i="28" l="1"/>
  <c r="AM18" i="28" s="1"/>
  <c r="AM16" i="28"/>
  <c r="AL22" i="28"/>
  <c r="AL23" i="28" s="1"/>
  <c r="AL31" i="28" s="1"/>
  <c r="AL32" i="28" s="1"/>
  <c r="AM19" i="28" l="1"/>
  <c r="AM22" i="28"/>
  <c r="AM23" i="28" s="1"/>
  <c r="AM31" i="28" s="1"/>
  <c r="AM32" i="28" s="1"/>
  <c r="AN16" i="28"/>
  <c r="AM20" i="28"/>
  <c r="AN18" i="28" s="1"/>
  <c r="AN19" i="28" l="1"/>
  <c r="AN20" i="28" l="1"/>
  <c r="AN22" i="28"/>
  <c r="AN23" i="28" s="1"/>
  <c r="AN31" i="28" s="1"/>
  <c r="AN32" i="28" l="1"/>
  <c r="AN33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Jake Thornburg</author>
  </authors>
  <commentList>
    <comment ref="P38" authorId="0" shapeId="0" xr:uid="{2158A0D5-2C5D-4C77-8790-15911BD66DFF}">
      <text>
        <r>
          <rPr>
            <b/>
            <sz val="9"/>
            <color indexed="81"/>
            <rFont val="Tahoma"/>
            <charset val="1"/>
          </rPr>
          <t>Jake Thornburg:</t>
        </r>
        <r>
          <rPr>
            <sz val="9"/>
            <color indexed="81"/>
            <rFont val="Tahoma"/>
            <charset val="1"/>
          </rPr>
          <t xml:space="preserve">
Mangement recently used divestiture capital to improve capital structure, so it is presently close to target D/E Ratio</t>
        </r>
      </text>
    </comment>
  </commentList>
</comments>
</file>

<file path=xl/sharedStrings.xml><?xml version="1.0" encoding="utf-8"?>
<sst xmlns="http://schemas.openxmlformats.org/spreadsheetml/2006/main" count="1061" uniqueCount="474">
  <si>
    <t>-</t>
  </si>
  <si>
    <t xml:space="preserve">  Total Current Assets</t>
  </si>
  <si>
    <t xml:space="preserve">  Total Current Liabilities</t>
  </si>
  <si>
    <t>2018A</t>
  </si>
  <si>
    <t>2019A</t>
  </si>
  <si>
    <t>2020A</t>
  </si>
  <si>
    <t>2021A</t>
  </si>
  <si>
    <t>2022A</t>
  </si>
  <si>
    <t>2023A</t>
  </si>
  <si>
    <t>Income Statement</t>
  </si>
  <si>
    <t xml:space="preserve"> </t>
  </si>
  <si>
    <t>Revenue</t>
  </si>
  <si>
    <t>Other Revenue</t>
  </si>
  <si>
    <t xml:space="preserve">  Total Revenue</t>
  </si>
  <si>
    <t>Cost Of Goods Sold</t>
  </si>
  <si>
    <t xml:space="preserve">  Gross Profit</t>
  </si>
  <si>
    <t>Selling General &amp; Admin Exp.</t>
  </si>
  <si>
    <t>R &amp; D Exp.</t>
  </si>
  <si>
    <t>Depreciation &amp; Amort.</t>
  </si>
  <si>
    <t>Other Operating Expense/(Income)</t>
  </si>
  <si>
    <t xml:space="preserve">  Other Operating Exp., Total</t>
  </si>
  <si>
    <t xml:space="preserve">  Operating Income</t>
  </si>
  <si>
    <t>Interest Expense</t>
  </si>
  <si>
    <t>Interest and Invest. Income</t>
  </si>
  <si>
    <t xml:space="preserve">  Net Interest Exp.</t>
  </si>
  <si>
    <t>Income/(Loss) from Affiliates</t>
  </si>
  <si>
    <t>Other Non-Operating Inc. (Exp.)</t>
  </si>
  <si>
    <t xml:space="preserve">  EBT Excl. Unusual Items</t>
  </si>
  <si>
    <t>Impairment of Goodwill</t>
  </si>
  <si>
    <t>Gain (Loss) On Sale Of Assets</t>
  </si>
  <si>
    <t>Other Unusual Items</t>
  </si>
  <si>
    <t xml:space="preserve">  EBT Incl. Unusual Items</t>
  </si>
  <si>
    <t>Income Tax Expense</t>
  </si>
  <si>
    <t xml:space="preserve">  Earnings from Cont. Ops.</t>
  </si>
  <si>
    <t>Earnings of Discontinued Ops.</t>
  </si>
  <si>
    <t>Extraord. Item &amp; Account. Change</t>
  </si>
  <si>
    <t xml:space="preserve">  Net Income to Company</t>
  </si>
  <si>
    <t>Minority Int. in Earnings</t>
  </si>
  <si>
    <t xml:space="preserve">  Net Income</t>
  </si>
  <si>
    <t>Pref. Dividends and Other Adj.</t>
  </si>
  <si>
    <t xml:space="preserve">  NI to Common Incl Extra Items</t>
  </si>
  <si>
    <t xml:space="preserve">  NI to Common Excl. Extra Items</t>
  </si>
  <si>
    <t>Per Share Items</t>
  </si>
  <si>
    <t>Basic EPS</t>
  </si>
  <si>
    <t>Basic EPS Excl. Extra Items</t>
  </si>
  <si>
    <t>Weighted Avg. Basic Shares Out.</t>
  </si>
  <si>
    <t>Diluted EPS</t>
  </si>
  <si>
    <t>Diluted EPS Excl. Extra Items</t>
  </si>
  <si>
    <t>Weighted Avg. Diluted Shares Out.</t>
  </si>
  <si>
    <t>Normalized Basic EPS</t>
  </si>
  <si>
    <t>Normalized Diluted EPS</t>
  </si>
  <si>
    <t>Dividends per Share</t>
  </si>
  <si>
    <t>Payout Ratio %</t>
  </si>
  <si>
    <t>Cash Flow</t>
  </si>
  <si>
    <t>Net Income</t>
  </si>
  <si>
    <t>Amort. of Goodwill and Intangibles</t>
  </si>
  <si>
    <t>Depreciation &amp; Amort., Total</t>
  </si>
  <si>
    <t>(Income) Loss on Equity Invest.</t>
  </si>
  <si>
    <t>Stock-Based Compensation</t>
  </si>
  <si>
    <t>Net Cash From Discontinued Ops.</t>
  </si>
  <si>
    <t>Other Operating Activities</t>
  </si>
  <si>
    <t>Change in Acc. Receivable</t>
  </si>
  <si>
    <t>Change In Inventories</t>
  </si>
  <si>
    <t>Change in Acc. Payable</t>
  </si>
  <si>
    <t>Change in Other Net Operating Assets</t>
  </si>
  <si>
    <t xml:space="preserve">  Cash from Ops.</t>
  </si>
  <si>
    <t>Capital Expenditure</t>
  </si>
  <si>
    <t>Cash Acquisitions</t>
  </si>
  <si>
    <t>Divestitures</t>
  </si>
  <si>
    <t>Invest. in Marketable &amp; Equity Securt.</t>
  </si>
  <si>
    <t>Net (Inc.) Dec. in Loans Originated/Sold</t>
  </si>
  <si>
    <t>Other Investing Activities</t>
  </si>
  <si>
    <t xml:space="preserve">  Cash from Investing</t>
  </si>
  <si>
    <t>Short Term Debt Issued</t>
  </si>
  <si>
    <t>Long-Term Debt Issued</t>
  </si>
  <si>
    <t>Total Debt Issued</t>
  </si>
  <si>
    <t>Short Term Debt Repaid</t>
  </si>
  <si>
    <t>Long-Term Debt Repaid</t>
  </si>
  <si>
    <t>Total Debt Repaid</t>
  </si>
  <si>
    <t>Repurchase of Common Stock</t>
  </si>
  <si>
    <t>Common Dividends Paid</t>
  </si>
  <si>
    <t>Total Dividends Paid</t>
  </si>
  <si>
    <t>Special Dividend Paid</t>
  </si>
  <si>
    <t>Other Financing Activities</t>
  </si>
  <si>
    <t xml:space="preserve">  Cash from Financing</t>
  </si>
  <si>
    <t>Foreign Exchange Rate Adj.</t>
  </si>
  <si>
    <t xml:space="preserve">  Net Change in Cash</t>
  </si>
  <si>
    <t>Valvoline Inc. (NYSE: VVV)</t>
  </si>
  <si>
    <t>Balance Sheet</t>
  </si>
  <si>
    <t>X</t>
  </si>
  <si>
    <t>Begininning of Period Store Count</t>
  </si>
  <si>
    <t>Opened Stores</t>
  </si>
  <si>
    <t>Aquired Stores</t>
  </si>
  <si>
    <t>Conversion between Franchised and Company Operated</t>
  </si>
  <si>
    <t>Closed Stores</t>
  </si>
  <si>
    <t>Company Owned Store Count</t>
  </si>
  <si>
    <t>Franchised Store Count</t>
  </si>
  <si>
    <t>Beginning of Period Store Count</t>
  </si>
  <si>
    <t>Acquired Stores</t>
  </si>
  <si>
    <t>End of Period Stores</t>
  </si>
  <si>
    <t>Total Beginning of Period Stores</t>
  </si>
  <si>
    <t>Total End of Period Stores</t>
  </si>
  <si>
    <t>Growth %</t>
  </si>
  <si>
    <t>2023 Total New Franchised Stores</t>
  </si>
  <si>
    <t>2023 Total New Owned Stores</t>
  </si>
  <si>
    <t>Company Operated Store Count</t>
  </si>
  <si>
    <t>Total Store Count</t>
  </si>
  <si>
    <t>Memo: Store Information</t>
  </si>
  <si>
    <t>x</t>
  </si>
  <si>
    <t>Store count build</t>
  </si>
  <si>
    <t>Historical System-Wide Store Sales</t>
  </si>
  <si>
    <t>Number of Company Owned Stores</t>
  </si>
  <si>
    <t>Assumptions</t>
  </si>
  <si>
    <t>Revenue per Company Owned Stores</t>
  </si>
  <si>
    <t>Revenue from Company Owned Stores</t>
  </si>
  <si>
    <t>Number of Franchised Stores</t>
  </si>
  <si>
    <t>Revenue per Franchised Store</t>
  </si>
  <si>
    <t>Revenue from Franchised Stores</t>
  </si>
  <si>
    <t>Total Revenue</t>
  </si>
  <si>
    <t>Historical Retail Services Revenue</t>
  </si>
  <si>
    <t>Memo: Key Metrics</t>
  </si>
  <si>
    <t>Operating Income</t>
  </si>
  <si>
    <t>Owned Store Revenue per Store</t>
  </si>
  <si>
    <t>Owned Store Revenue</t>
  </si>
  <si>
    <t>Average Revenue per Store</t>
  </si>
  <si>
    <t>Franchise Store Revenues</t>
  </si>
  <si>
    <t>Other Revenues</t>
  </si>
  <si>
    <t>Owned Store Performance Difference</t>
  </si>
  <si>
    <t>Store Revenue Metrics</t>
  </si>
  <si>
    <t>Franchise Revenue Metrics</t>
  </si>
  <si>
    <t>Owned stores perform similarly to franchise stores</t>
  </si>
  <si>
    <t>Revenue per Franchise Store ('19-'21)</t>
  </si>
  <si>
    <t>Revenue from Stores</t>
  </si>
  <si>
    <t>Retail Services Revenue</t>
  </si>
  <si>
    <t>Check</t>
  </si>
  <si>
    <t>Error from using avg revenue per store instead of only owned locations</t>
  </si>
  <si>
    <t>rev build</t>
  </si>
  <si>
    <t>EBIT</t>
  </si>
  <si>
    <t>Tax Rate</t>
  </si>
  <si>
    <t>Store Count Build Assumptions</t>
  </si>
  <si>
    <t>Franchised Stores</t>
  </si>
  <si>
    <t>Company Owned Stores</t>
  </si>
  <si>
    <t>Case Selector:</t>
  </si>
  <si>
    <t>Base</t>
  </si>
  <si>
    <t>Upside</t>
  </si>
  <si>
    <t>Downside</t>
  </si>
  <si>
    <t>Case Selected</t>
  </si>
  <si>
    <t>Constant below historical average</t>
  </si>
  <si>
    <t>Revenue Build Assumptions</t>
  </si>
  <si>
    <t>Revenue per Franchised Store Growth</t>
  </si>
  <si>
    <t>only have historicals for '20-'21</t>
  </si>
  <si>
    <t>negative row 9</t>
  </si>
  <si>
    <t>Analysts: Shannon Burchett and Jake Thornburg</t>
  </si>
  <si>
    <t>Capital Structure</t>
  </si>
  <si>
    <t>Term Loan</t>
  </si>
  <si>
    <t>Rate</t>
  </si>
  <si>
    <t>Maturity</t>
  </si>
  <si>
    <t>Px</t>
  </si>
  <si>
    <t>YTM</t>
  </si>
  <si>
    <t>Market Value</t>
  </si>
  <si>
    <t>RCF</t>
  </si>
  <si>
    <t>2030 Notes</t>
  </si>
  <si>
    <t>2031 Notes</t>
  </si>
  <si>
    <t>Cost of Debt</t>
  </si>
  <si>
    <t>Pre Tax Cost of Debt</t>
  </si>
  <si>
    <t>Weighted Average of YTM</t>
  </si>
  <si>
    <t>After Tax Cost of Debt</t>
  </si>
  <si>
    <t>Cost of Equity</t>
  </si>
  <si>
    <t>Beta</t>
  </si>
  <si>
    <t>Risk Free Rate</t>
  </si>
  <si>
    <t>Market Risk Premium</t>
  </si>
  <si>
    <t>Yahoo Finance</t>
  </si>
  <si>
    <t>WACC</t>
  </si>
  <si>
    <t>Debt to Total Capitalization</t>
  </si>
  <si>
    <t>Equity to Total Capitalization</t>
  </si>
  <si>
    <t>TEV</t>
  </si>
  <si>
    <t>Total Debt</t>
  </si>
  <si>
    <t>Weighted Avg YTM calculation</t>
  </si>
  <si>
    <t>Memo:</t>
  </si>
  <si>
    <t>COGS % of Rev</t>
  </si>
  <si>
    <t>Gross Profit % of Rev</t>
  </si>
  <si>
    <t>SG&amp;A % of Rev</t>
  </si>
  <si>
    <t>Operating Expenses % of Rev</t>
  </si>
  <si>
    <t>Income Tax % of Rev</t>
  </si>
  <si>
    <t>D&amp;A % of Rev</t>
  </si>
  <si>
    <t>Capex % of Rev</t>
  </si>
  <si>
    <t>COGS</t>
  </si>
  <si>
    <t>2024E</t>
  </si>
  <si>
    <t>2025E</t>
  </si>
  <si>
    <t>2026E</t>
  </si>
  <si>
    <t>2027E</t>
  </si>
  <si>
    <t>2028E</t>
  </si>
  <si>
    <t>2029E</t>
  </si>
  <si>
    <t>Total COGS</t>
  </si>
  <si>
    <t>Gross Profit</t>
  </si>
  <si>
    <t>SG&amp;A</t>
  </si>
  <si>
    <t>Operating Expenses</t>
  </si>
  <si>
    <t>NOPAT</t>
  </si>
  <si>
    <t>D&amp;A</t>
  </si>
  <si>
    <t>Capex</t>
  </si>
  <si>
    <t>Net Working Capital</t>
  </si>
  <si>
    <t>Change in NWC</t>
  </si>
  <si>
    <t>Operating Model Assumptions</t>
  </si>
  <si>
    <t>Treasury 10 YR, 1/8/2024</t>
  </si>
  <si>
    <t>Gross Margin %</t>
  </si>
  <si>
    <t>EBIT Margin %</t>
  </si>
  <si>
    <t>Expenses</t>
  </si>
  <si>
    <t>Operating Income (EBIT)</t>
  </si>
  <si>
    <t>Plus: D&amp;A</t>
  </si>
  <si>
    <t>Discretionary Cash Flow</t>
  </si>
  <si>
    <r>
      <t xml:space="preserve">Less: </t>
    </r>
    <r>
      <rPr>
        <sz val="11"/>
        <color theme="1"/>
        <rFont val="Calibri"/>
        <family val="2"/>
      </rPr>
      <t>ΔNWC</t>
    </r>
  </si>
  <si>
    <t>Less: CAPEX</t>
  </si>
  <si>
    <t>Free Cash Flow</t>
  </si>
  <si>
    <t>Discount Period</t>
  </si>
  <si>
    <t>Present Value of Free Cash Flow</t>
  </si>
  <si>
    <t>Disount Factor</t>
  </si>
  <si>
    <t>FYE Sept. 30</t>
  </si>
  <si>
    <t>Enterprise Value</t>
  </si>
  <si>
    <t>Cumulative Value of Present FCF</t>
  </si>
  <si>
    <t>EBITDA</t>
  </si>
  <si>
    <t>Terminal Value</t>
  </si>
  <si>
    <t>Terminal Year EBITDA</t>
  </si>
  <si>
    <t>Exit Multiple</t>
  </si>
  <si>
    <t>Discount Factor</t>
  </si>
  <si>
    <t>Present Value of Terminal Value</t>
  </si>
  <si>
    <t>% of Enterprise Value</t>
  </si>
  <si>
    <t>DCF Implied Equity and Share Value</t>
  </si>
  <si>
    <t>Net New Stores</t>
  </si>
  <si>
    <t>Less: Total Debt</t>
  </si>
  <si>
    <t>Plus: Cash &amp; Cash Equivalents</t>
  </si>
  <si>
    <t>Implied Equity Value</t>
  </si>
  <si>
    <t>Shares Outstanding</t>
  </si>
  <si>
    <t>Implied Share Price</t>
  </si>
  <si>
    <t>From CapIQ, Q4 2023</t>
  </si>
  <si>
    <t>DCF Sensitivity Analysis</t>
  </si>
  <si>
    <t>Exit Multiple / WACC</t>
  </si>
  <si>
    <t>Ticker</t>
  </si>
  <si>
    <t>Company</t>
  </si>
  <si>
    <t>Market Capitalization</t>
  </si>
  <si>
    <t>LTM EV/Revenue</t>
  </si>
  <si>
    <t>NTM EV/Revenue</t>
  </si>
  <si>
    <t>LTM EV/EBITDA</t>
  </si>
  <si>
    <t>NTM EV/EBITDA</t>
  </si>
  <si>
    <t>LTM Price/Earning</t>
  </si>
  <si>
    <t>NTM Price/ Earnings</t>
  </si>
  <si>
    <t>Auto Aftermarket Comps</t>
  </si>
  <si>
    <t>Mister</t>
  </si>
  <si>
    <t>Monro</t>
  </si>
  <si>
    <t>Boyd Group</t>
  </si>
  <si>
    <t>DRVN</t>
  </si>
  <si>
    <t>Driven Brands Holdings Inc.</t>
  </si>
  <si>
    <t>Valuation Statistics:</t>
  </si>
  <si>
    <t>Valvoline Inc.</t>
  </si>
  <si>
    <t>Low</t>
  </si>
  <si>
    <t>Mean</t>
  </si>
  <si>
    <t>Median</t>
  </si>
  <si>
    <t>High</t>
  </si>
  <si>
    <t>Operating Statistics:</t>
  </si>
  <si>
    <t>LTM Revenue</t>
  </si>
  <si>
    <t>21-'22 Revenue Growth</t>
  </si>
  <si>
    <t>LTM Revenue Growth</t>
  </si>
  <si>
    <t>23-'24E Revenue Growth</t>
  </si>
  <si>
    <t>2022A Revenue</t>
  </si>
  <si>
    <t>2022A EBITDA</t>
  </si>
  <si>
    <t>LTM EBITDA</t>
  </si>
  <si>
    <t>2024E EBITDA</t>
  </si>
  <si>
    <t>2022A EBITDA Margin</t>
  </si>
  <si>
    <t>LTM EBITDA Margin</t>
  </si>
  <si>
    <t>2024E EBITDA Margin</t>
  </si>
  <si>
    <t>Mister Car Wash, Inc.</t>
  </si>
  <si>
    <t>MCW</t>
  </si>
  <si>
    <t>Reverse DCF</t>
  </si>
  <si>
    <t>Margin %</t>
  </si>
  <si>
    <t>Less: Taxes</t>
  </si>
  <si>
    <t>YOY Growth %</t>
  </si>
  <si>
    <t>% of CAPEX</t>
  </si>
  <si>
    <t>% of Revenue</t>
  </si>
  <si>
    <t>NWC</t>
  </si>
  <si>
    <t>Period</t>
  </si>
  <si>
    <t>Long Term Growth Rate</t>
  </si>
  <si>
    <t>Final Year FCF</t>
  </si>
  <si>
    <t>Terminal Value in Final Year</t>
  </si>
  <si>
    <t>Current Share Price</t>
  </si>
  <si>
    <t>Implied Metrics</t>
  </si>
  <si>
    <t>Growth Rate</t>
  </si>
  <si>
    <t>Perpetuity Growth Method</t>
  </si>
  <si>
    <t>Exit Multiple Method</t>
  </si>
  <si>
    <t>Blended Enterprise Value</t>
  </si>
  <si>
    <t>PGR Weight</t>
  </si>
  <si>
    <t>Exit Multiple Method Weight</t>
  </si>
  <si>
    <t>Terminal Growth Rate</t>
  </si>
  <si>
    <t>PGR / WACC</t>
  </si>
  <si>
    <t>Perpetuity Growth Rate</t>
  </si>
  <si>
    <t>Exit Multiple / PGR</t>
  </si>
  <si>
    <t>Upside (Downside)</t>
  </si>
  <si>
    <t>Customer Count Growth %</t>
  </si>
  <si>
    <t>Company Owned Store Sales Growth %</t>
  </si>
  <si>
    <t>Customer Count Growth</t>
  </si>
  <si>
    <t>Ticket Ammount Growth</t>
  </si>
  <si>
    <t>Op Model</t>
  </si>
  <si>
    <t>Rev Build</t>
  </si>
  <si>
    <t>Store Count Build</t>
  </si>
  <si>
    <t>DCF</t>
  </si>
  <si>
    <t>Comps</t>
  </si>
  <si>
    <t>Monro, Inc.</t>
  </si>
  <si>
    <t>MNRO</t>
  </si>
  <si>
    <t>BYD</t>
  </si>
  <si>
    <t>VVV</t>
  </si>
  <si>
    <t>High Growth Retailer Comps</t>
  </si>
  <si>
    <t>WING</t>
  </si>
  <si>
    <t>Wingstop Inc.</t>
  </si>
  <si>
    <t>Floor &amp; Decor Holdings, Inc.</t>
  </si>
  <si>
    <t>FND</t>
  </si>
  <si>
    <t>Lululemon Athletica Inc.</t>
  </si>
  <si>
    <t>LULU</t>
  </si>
  <si>
    <t>Planet Fitness, Inc.</t>
  </si>
  <si>
    <t>PLNT</t>
  </si>
  <si>
    <t>Step</t>
  </si>
  <si>
    <t>Taper in line with historicals</t>
  </si>
  <si>
    <t>Slows as stores growth causes erosion</t>
  </si>
  <si>
    <t>Accelerates as pricing power increases as VVV becomes industry leader</t>
  </si>
  <si>
    <t>Function matches management expectations in 24 and 27</t>
  </si>
  <si>
    <t>Period New Stores</t>
  </si>
  <si>
    <t>Generally trail off, due to lack of capital from divestiture</t>
  </si>
  <si>
    <t>Held fairly constant, implied by historical use of conversion and management goals</t>
  </si>
  <si>
    <t>Near 0, based on historical, limited store closures especially due to pure play growth messaging</t>
  </si>
  <si>
    <t>Drops less agressively due to less capital intensive nature</t>
  </si>
  <si>
    <t>Tax, % of Revenue</t>
  </si>
  <si>
    <t>Held in line with historical figures</t>
  </si>
  <si>
    <t>Increases slightly trailing CAPEX</t>
  </si>
  <si>
    <t>Management failure to implement plan</t>
  </si>
  <si>
    <t>Inflation</t>
  </si>
  <si>
    <t>Decreases due to erosion</t>
  </si>
  <si>
    <t>Terminal Value Assumptions</t>
  </si>
  <si>
    <t>In Upside Case, terminal values are modeled to recongize moderate street sentiment towards high growth retail</t>
  </si>
  <si>
    <t>In Downside case, terminal values are modeled to imply EV risk coming to fruition and VVV trading down 4 turns on an EV/EBITDA basis</t>
  </si>
  <si>
    <t>In Base Case, terminal values are held close to historical trading average</t>
  </si>
  <si>
    <t>NWC Assumptions</t>
  </si>
  <si>
    <t>Ticket Amount Growth %</t>
  </si>
  <si>
    <t>Total Addressable Market</t>
  </si>
  <si>
    <t>Miles Driven</t>
  </si>
  <si>
    <t>End of Year Cars</t>
  </si>
  <si>
    <t>Beginning of Year Cars</t>
  </si>
  <si>
    <t>EV Sales</t>
  </si>
  <si>
    <t>Decomissioned Cars</t>
  </si>
  <si>
    <t>% of Total Car Sales</t>
  </si>
  <si>
    <t>New Vehicle Sales</t>
  </si>
  <si>
    <t>% of Total Vehicles</t>
  </si>
  <si>
    <t>As % of New Vehicle Sales</t>
  </si>
  <si>
    <t>Miles per Car</t>
  </si>
  <si>
    <t>Average Number of Cars</t>
  </si>
  <si>
    <t>Miles per Oil Change</t>
  </si>
  <si>
    <t>Oil Changes per Car</t>
  </si>
  <si>
    <t>Total Oil Changes</t>
  </si>
  <si>
    <t>Average Number of ICE</t>
  </si>
  <si>
    <t>Initial Takeaways</t>
  </si>
  <si>
    <t>However, more moderate cases with limited EV adoption in next decade push concerns far enough that VVV is protected</t>
  </si>
  <si>
    <t>Average Number of EV</t>
  </si>
  <si>
    <t>#'s in MM</t>
  </si>
  <si>
    <t>Saturation</t>
  </si>
  <si>
    <t>Decomission Rate</t>
  </si>
  <si>
    <t>10k</t>
  </si>
  <si>
    <t>Strong Ticket Growth in upside case</t>
  </si>
  <si>
    <t>IS</t>
  </si>
  <si>
    <t>CF</t>
  </si>
  <si>
    <t>BS</t>
  </si>
  <si>
    <t>IS/Assumptions</t>
  </si>
  <si>
    <t>CF/Assumptions</t>
  </si>
  <si>
    <t>BS/Assumptions</t>
  </si>
  <si>
    <t>Terminal depression is justified if EV adoption reaches critical mass in 2030 and has high saturation potential</t>
  </si>
  <si>
    <t>Sources</t>
  </si>
  <si>
    <t>FRED (Miles), Statista (Car Sales), Manufacturers (Oil Changes / Car)</t>
  </si>
  <si>
    <t>10k, Figure only reported '19-'21</t>
  </si>
  <si>
    <t>Assumptions, Note: only have figures from '19-'21</t>
  </si>
  <si>
    <t>Street not fully appreciating short term growth potential</t>
  </si>
  <si>
    <t>CAGR</t>
  </si>
  <si>
    <t>Consensus Case (5yr Intervals)</t>
  </si>
  <si>
    <t>Underperformance Case (5yr Intervals)</t>
  </si>
  <si>
    <t>Current Assets</t>
  </si>
  <si>
    <t xml:space="preserve">  Cash and Cash Equivalents</t>
  </si>
  <si>
    <t xml:space="preserve">  Short-term Investments</t>
  </si>
  <si>
    <t xml:space="preserve">  Accounts Receivables</t>
  </si>
  <si>
    <t xml:space="preserve">  Inventories</t>
  </si>
  <si>
    <t xml:space="preserve">  Prepaid Expenses and Other Current Assets</t>
  </si>
  <si>
    <t xml:space="preserve">  Current Assets Held for Sale</t>
  </si>
  <si>
    <t>Non Current Assets</t>
  </si>
  <si>
    <t xml:space="preserve">  Operating Lease Assets</t>
  </si>
  <si>
    <t xml:space="preserve">  Property, Plant and Equipment, Net</t>
  </si>
  <si>
    <t xml:space="preserve">  Equity-method Investment</t>
  </si>
  <si>
    <t xml:space="preserve">  Deferred Income Taxes</t>
  </si>
  <si>
    <t xml:space="preserve">  Goodwill and Intangibles</t>
  </si>
  <si>
    <t xml:space="preserve">  Other Non-current Assets</t>
  </si>
  <si>
    <t xml:space="preserve">  Noncurrent Assets Held for Sale</t>
  </si>
  <si>
    <t xml:space="preserve">  Total Assets</t>
  </si>
  <si>
    <t>Current Liabilities</t>
  </si>
  <si>
    <t xml:space="preserve">  Trade and Other Payables</t>
  </si>
  <si>
    <t xml:space="preserve">  Accrued Expenses and Other Liabilities</t>
  </si>
  <si>
    <t xml:space="preserve">  Current Portion of Long-term Debt</t>
  </si>
  <si>
    <t xml:space="preserve">  Current Liabilities Held for Sale</t>
  </si>
  <si>
    <t>Non Current Liabilities</t>
  </si>
  <si>
    <t xml:space="preserve">  Long-term Debt</t>
  </si>
  <si>
    <t xml:space="preserve">  Operating Lease Liabilities</t>
  </si>
  <si>
    <t xml:space="preserve">  Employee Benefits Obligations</t>
  </si>
  <si>
    <t xml:space="preserve">  Other Liabilities</t>
  </si>
  <si>
    <t xml:space="preserve">  Non-current Liabilities Held for Sale</t>
  </si>
  <si>
    <t>Shareholders' Equity</t>
  </si>
  <si>
    <t xml:space="preserve">  Common Stock - Par Value</t>
  </si>
  <si>
    <t xml:space="preserve">  Additional Paid in Capital</t>
  </si>
  <si>
    <t xml:space="preserve">  Retained Earnings</t>
  </si>
  <si>
    <t xml:space="preserve">  Retained Deficit</t>
  </si>
  <si>
    <t xml:space="preserve">  Retained Earnings (Deficit)</t>
  </si>
  <si>
    <t xml:space="preserve">  Accumulated Other Comprehensive Income (Loss)</t>
  </si>
  <si>
    <t xml:space="preserve">  Total Shareholders Equity</t>
  </si>
  <si>
    <t xml:space="preserve">  Total Liabilities &amp; Shareholders Equity</t>
  </si>
  <si>
    <t>Memo: Income Statement</t>
  </si>
  <si>
    <t>Note: Divestiture related, should be 0 going forward</t>
  </si>
  <si>
    <t>Excluding items held for sale</t>
  </si>
  <si>
    <t>ΔNWC</t>
  </si>
  <si>
    <t xml:space="preserve">  Cash and Cash Equivalents (% Rev)</t>
  </si>
  <si>
    <t xml:space="preserve">  Short-term Investments (% Rev)</t>
  </si>
  <si>
    <t xml:space="preserve">  Accounts Receivables (% COGS)</t>
  </si>
  <si>
    <t xml:space="preserve">  Inventories (% COGS)</t>
  </si>
  <si>
    <t xml:space="preserve">  Prepaid Expenses and Other Current Assets (% COGS)</t>
  </si>
  <si>
    <t xml:space="preserve">  Trade and Other Payables (% COGS)</t>
  </si>
  <si>
    <t xml:space="preserve">  Accrued Expenses and Other Liabilities (% COGS)</t>
  </si>
  <si>
    <t xml:space="preserve">  Current Portion of Long-term Debt (% Rev)</t>
  </si>
  <si>
    <t>Debt due Apr-24, reason for increase in cash</t>
  </si>
  <si>
    <t>Memo: NWC</t>
  </si>
  <si>
    <t>Cash/Equivalents (% Revenue)</t>
  </si>
  <si>
    <t>Short Term Investments (% Revenue)</t>
  </si>
  <si>
    <t>A/R (% COGS)</t>
  </si>
  <si>
    <t>Inventories (% COGS)</t>
  </si>
  <si>
    <t>Prepaid Expenses and Other Current Assets (% COGS)</t>
  </si>
  <si>
    <t>Trade and Other Payables (% COGS)</t>
  </si>
  <si>
    <t>Accrued Expenses and Other Liabilities (% COGS)</t>
  </si>
  <si>
    <t>Current Portion of Long Term Debt (% Revenue)</t>
  </si>
  <si>
    <t>Believe that franchise model is based on revenue (industry standards)</t>
  </si>
  <si>
    <t>Conservative numbers as information is kept really private</t>
  </si>
  <si>
    <t>Informed by last 4 years</t>
  </si>
  <si>
    <t>In line with consensus</t>
  </si>
  <si>
    <t>No change between cases as economies of scales have been reached and cost profile is historically consistent</t>
  </si>
  <si>
    <t>Historical average</t>
  </si>
  <si>
    <t>Based on store count</t>
  </si>
  <si>
    <t>Higher in cases with more store growth</t>
  </si>
  <si>
    <t>Minimal contraction, EV adoption stagnates through 2030</t>
  </si>
  <si>
    <t>EV adoption meets consensus expectations</t>
  </si>
  <si>
    <t>Some EV underperformance through 2030</t>
  </si>
  <si>
    <t>Projections largely based on historical performance</t>
  </si>
  <si>
    <t>PGR Implied Equity and Share Value</t>
  </si>
  <si>
    <t>Exit Multiple Implied Equity and Share Value</t>
  </si>
  <si>
    <t>Blended Share Price</t>
  </si>
  <si>
    <t>Other revenue was products sold in retail services stores predominantly, hence decrease post divestiture</t>
  </si>
  <si>
    <t>Current Assets--Excluding Cash &amp; Equivalents</t>
  </si>
  <si>
    <t>Current Liabilities--Excluding LT Debt</t>
  </si>
  <si>
    <t>CapIQ</t>
  </si>
  <si>
    <t>Depressed terminal value multiples--EV</t>
  </si>
  <si>
    <t>Bloomberg WACC: 8.9</t>
  </si>
  <si>
    <t>Amount</t>
  </si>
  <si>
    <t>Beginning of Year EVs</t>
  </si>
  <si>
    <t>Decommissioned EVs</t>
  </si>
  <si>
    <t>End of Year EVs</t>
  </si>
  <si>
    <t>Coverage Ratio</t>
  </si>
  <si>
    <t>Key Ratios</t>
  </si>
  <si>
    <t>Lease Expense</t>
  </si>
  <si>
    <t>Net Debt</t>
  </si>
  <si>
    <t>Lease Adjusted Leverage Ratio</t>
  </si>
  <si>
    <t>Mangement Target</t>
  </si>
  <si>
    <t>2.5x-3.5x</t>
  </si>
  <si>
    <t>Follows management guidance</t>
  </si>
  <si>
    <t>Other Operating Expense (Income)</t>
  </si>
  <si>
    <t>Other Op Expense % of Rev</t>
  </si>
  <si>
    <t>Other Operating Expenses % of Rev</t>
  </si>
  <si>
    <t>Historical Average</t>
  </si>
  <si>
    <t>Close on 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</si>
</sst>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_)\ ;_(* 0_)"/>
    <numFmt numFmtId="165" formatCode="_(&quot;$&quot;#,##0.0#_);_(\(&quot;$&quot;#,##0.0#\)_);_(&quot;$&quot;&quot; - &quot;_)"/>
    <numFmt numFmtId="166" formatCode="_(* #,##0.0#_);_(* \(#,##0.0#\)_)\ ;_(* 0_)"/>
    <numFmt numFmtId="167" formatCode="_(#,##0.0%_);_(\(#,##0.0%\)_);_(#,##0.0%_)"/>
    <numFmt numFmtId="168" formatCode="[&lt;2024]####&quot;A&quot;;####&quot;E&quot;"/>
    <numFmt numFmtId="169" formatCode="[&lt;0]\(###0\);###0"/>
    <numFmt numFmtId="170" formatCode="[&lt;0]\(###0\);[=0]\-\-;###0;"/>
    <numFmt numFmtId="171" formatCode="&quot;$&quot;#,##0;\(&quot;$&quot;#,##0\);\-\-"/>
    <numFmt numFmtId="172" formatCode="&quot;$&quot;#,##0.00;\(&quot;$&quot;#,##0.00\);\-\-"/>
    <numFmt numFmtId="173" formatCode="&quot;$&quot;#,###.##"/>
    <numFmt numFmtId="174" formatCode="&quot;$&quot;#,##0.#0"/>
    <numFmt numFmtId="175" formatCode="&quot;$&quot;#,##0"/>
    <numFmt numFmtId="176" formatCode="#,##0;\(#,##0\);\-\-"/>
    <numFmt numFmtId="177" formatCode="0.000%"/>
    <numFmt numFmtId="178" formatCode="0.0"/>
    <numFmt numFmtId="179" formatCode="0.0%"/>
    <numFmt numFmtId="180" formatCode="&quot;$&quot;#,##0;&quot;$&quot;\(#,##0\);\-\-"/>
    <numFmt numFmtId="181" formatCode="0.000"/>
    <numFmt numFmtId="182" formatCode="#\x"/>
    <numFmt numFmtId="183" formatCode="_([$$]#,##0_)_%;\([$$]#,##0\)_%;_(&quot;–&quot;_)_%;_(@_)_%"/>
    <numFmt numFmtId="184" formatCode="_(#,##0_)_%;\(#,##0\)_%;_(&quot;–&quot;_)_%;_(@_)_%"/>
    <numFmt numFmtId="185" formatCode="#,##0_);\(#,##0\);\ \-\-"/>
    <numFmt numFmtId="186" formatCode="&quot;$&quot;#,##0.00;&quot;$&quot;\(#,##0.00\);\-\-"/>
    <numFmt numFmtId="187" formatCode="0%;\(0%\);\-\-"/>
    <numFmt numFmtId="188" formatCode="#.0\x"/>
    <numFmt numFmtId="189" formatCode="0.0%;\(0.0%\);\-\-"/>
    <numFmt numFmtId="190" formatCode="0.00%;\(0.00%\);\-\-"/>
    <numFmt numFmtId="191" formatCode="#,##0.0;\(#,##0.0\);\-\-"/>
    <numFmt numFmtId="192" formatCode="#.00"/>
    <numFmt numFmtId="193" formatCode="_(* #,##0.000_);_(* \(#,##0.00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3CC33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0"/>
      <color indexed="9"/>
      <name val="Calibri"/>
      <family val="2"/>
    </font>
    <font>
      <b/>
      <sz val="8"/>
      <color indexed="9"/>
      <name val="Calibri"/>
      <family val="2"/>
    </font>
    <font>
      <b/>
      <i/>
      <sz val="16"/>
      <color indexed="9"/>
      <name val="Calibri"/>
      <family val="2"/>
    </font>
    <font>
      <b/>
      <sz val="10"/>
      <color indexed="8"/>
      <name val="Calibri"/>
      <family val="2"/>
    </font>
    <font>
      <b/>
      <i/>
      <sz val="14"/>
      <color indexed="9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u val="double"/>
      <sz val="11"/>
      <color indexed="8"/>
      <name val="Calibri"/>
      <family val="2"/>
    </font>
    <font>
      <sz val="11"/>
      <color rgb="FF0F206C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985"/>
        <bgColor indexed="64"/>
      </patternFill>
    </fill>
    <fill>
      <patternFill patternType="solid">
        <fgColor rgb="FF0F206C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</cellStyleXfs>
  <cellXfs count="478">
    <xf numFmtId="0" fontId="0" fillId="0" borderId="0" xfId="0"/>
    <xf numFmtId="0" fontId="0" fillId="0" borderId="0" xfId="0" applyAlignment="1">
      <alignment vertical="center"/>
    </xf>
    <xf numFmtId="0" fontId="0" fillId="4" borderId="0" xfId="0" applyFill="1"/>
    <xf numFmtId="0" fontId="0" fillId="0" borderId="2" xfId="0" applyBorder="1"/>
    <xf numFmtId="168" fontId="2" fillId="0" borderId="0" xfId="0" applyNumberFormat="1" applyFont="1"/>
    <xf numFmtId="0" fontId="2" fillId="0" borderId="0" xfId="0" applyFont="1"/>
    <xf numFmtId="168" fontId="2" fillId="0" borderId="2" xfId="0" applyNumberFormat="1" applyFont="1" applyBorder="1"/>
    <xf numFmtId="0" fontId="4" fillId="0" borderId="0" xfId="0" applyFont="1" applyAlignment="1">
      <alignment horizontal="left" indent="1"/>
    </xf>
    <xf numFmtId="9" fontId="4" fillId="0" borderId="0" xfId="1" applyFont="1"/>
    <xf numFmtId="169" fontId="0" fillId="0" borderId="0" xfId="0" applyNumberFormat="1"/>
    <xf numFmtId="170" fontId="3" fillId="0" borderId="0" xfId="0" applyNumberFormat="1" applyFont="1"/>
    <xf numFmtId="170" fontId="0" fillId="0" borderId="0" xfId="0" applyNumberFormat="1"/>
    <xf numFmtId="170" fontId="3" fillId="0" borderId="2" xfId="0" applyNumberFormat="1" applyFont="1" applyBorder="1"/>
    <xf numFmtId="170" fontId="2" fillId="0" borderId="0" xfId="0" applyNumberFormat="1" applyFont="1"/>
    <xf numFmtId="0" fontId="4" fillId="0" borderId="2" xfId="0" applyFont="1" applyBorder="1" applyAlignment="1">
      <alignment horizontal="left" indent="1"/>
    </xf>
    <xf numFmtId="0" fontId="4" fillId="0" borderId="0" xfId="0" applyFont="1"/>
    <xf numFmtId="9" fontId="4" fillId="0" borderId="0" xfId="1" applyFont="1" applyFill="1" applyBorder="1"/>
    <xf numFmtId="0" fontId="5" fillId="0" borderId="0" xfId="0" applyFont="1"/>
    <xf numFmtId="171" fontId="0" fillId="0" borderId="0" xfId="0" applyNumberFormat="1"/>
    <xf numFmtId="172" fontId="0" fillId="0" borderId="0" xfId="0" applyNumberFormat="1"/>
    <xf numFmtId="0" fontId="2" fillId="0" borderId="2" xfId="0" applyFont="1" applyBorder="1"/>
    <xf numFmtId="171" fontId="3" fillId="0" borderId="0" xfId="0" applyNumberFormat="1" applyFont="1"/>
    <xf numFmtId="0" fontId="0" fillId="0" borderId="0" xfId="0" applyAlignment="1">
      <alignment horizontal="left"/>
    </xf>
    <xf numFmtId="9" fontId="0" fillId="0" borderId="0" xfId="1" applyFont="1"/>
    <xf numFmtId="0" fontId="0" fillId="5" borderId="0" xfId="0" applyFill="1"/>
    <xf numFmtId="0" fontId="2" fillId="0" borderId="2" xfId="0" applyFont="1" applyBorder="1" applyAlignment="1">
      <alignment horizontal="left"/>
    </xf>
    <xf numFmtId="0" fontId="4" fillId="0" borderId="2" xfId="0" applyFont="1" applyBorder="1"/>
    <xf numFmtId="9" fontId="4" fillId="0" borderId="2" xfId="1" applyFont="1" applyFill="1" applyBorder="1"/>
    <xf numFmtId="0" fontId="3" fillId="0" borderId="0" xfId="0" applyFont="1"/>
    <xf numFmtId="0" fontId="2" fillId="7" borderId="3" xfId="0" applyFont="1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171" fontId="5" fillId="0" borderId="0" xfId="0" applyNumberFormat="1" applyFont="1"/>
    <xf numFmtId="0" fontId="7" fillId="0" borderId="0" xfId="0" applyFont="1" applyAlignment="1">
      <alignment horizontal="left" indent="1"/>
    </xf>
    <xf numFmtId="0" fontId="2" fillId="8" borderId="3" xfId="0" applyFont="1" applyFill="1" applyBorder="1"/>
    <xf numFmtId="0" fontId="0" fillId="8" borderId="4" xfId="0" applyFill="1" applyBorder="1"/>
    <xf numFmtId="0" fontId="0" fillId="8" borderId="5" xfId="0" applyFill="1" applyBorder="1"/>
    <xf numFmtId="0" fontId="0" fillId="8" borderId="6" xfId="0" applyFill="1" applyBorder="1"/>
    <xf numFmtId="0" fontId="0" fillId="8" borderId="0" xfId="0" applyFill="1"/>
    <xf numFmtId="171" fontId="0" fillId="8" borderId="0" xfId="0" applyNumberFormat="1" applyFill="1"/>
    <xf numFmtId="0" fontId="0" fillId="8" borderId="7" xfId="0" applyFill="1" applyBorder="1"/>
    <xf numFmtId="0" fontId="7" fillId="8" borderId="8" xfId="0" applyFont="1" applyFill="1" applyBorder="1" applyAlignment="1">
      <alignment horizontal="left" indent="1"/>
    </xf>
    <xf numFmtId="0" fontId="7" fillId="8" borderId="2" xfId="0" applyFont="1" applyFill="1" applyBorder="1"/>
    <xf numFmtId="9" fontId="7" fillId="8" borderId="2" xfId="1" applyFont="1" applyFill="1" applyBorder="1"/>
    <xf numFmtId="0" fontId="7" fillId="8" borderId="9" xfId="0" applyFont="1" applyFill="1" applyBorder="1"/>
    <xf numFmtId="173" fontId="0" fillId="8" borderId="2" xfId="0" applyNumberFormat="1" applyFill="1" applyBorder="1"/>
    <xf numFmtId="0" fontId="0" fillId="8" borderId="8" xfId="0" applyFill="1" applyBorder="1"/>
    <xf numFmtId="0" fontId="0" fillId="8" borderId="2" xfId="0" applyFill="1" applyBorder="1"/>
    <xf numFmtId="0" fontId="0" fillId="8" borderId="9" xfId="0" applyFill="1" applyBorder="1"/>
    <xf numFmtId="174" fontId="0" fillId="0" borderId="0" xfId="0" applyNumberFormat="1"/>
    <xf numFmtId="174" fontId="0" fillId="8" borderId="0" xfId="0" applyNumberFormat="1" applyFill="1"/>
    <xf numFmtId="174" fontId="0" fillId="8" borderId="2" xfId="0" applyNumberFormat="1" applyFill="1" applyBorder="1"/>
    <xf numFmtId="9" fontId="0" fillId="0" borderId="2" xfId="1" applyFont="1" applyBorder="1"/>
    <xf numFmtId="9" fontId="4" fillId="0" borderId="2" xfId="1" applyFont="1" applyBorder="1"/>
    <xf numFmtId="175" fontId="2" fillId="0" borderId="0" xfId="0" applyNumberFormat="1" applyFont="1"/>
    <xf numFmtId="175" fontId="0" fillId="0" borderId="0" xfId="0" applyNumberFormat="1"/>
    <xf numFmtId="0" fontId="7" fillId="0" borderId="0" xfId="0" applyFont="1" applyAlignment="1">
      <alignment horizontal="right" indent="1"/>
    </xf>
    <xf numFmtId="0" fontId="0" fillId="0" borderId="0" xfId="0" applyAlignment="1">
      <alignment horizontal="right"/>
    </xf>
    <xf numFmtId="175" fontId="7" fillId="0" borderId="0" xfId="0" applyNumberFormat="1" applyFont="1" applyAlignment="1">
      <alignment horizontal="right"/>
    </xf>
    <xf numFmtId="0" fontId="7" fillId="0" borderId="4" xfId="0" applyFont="1" applyBorder="1" applyAlignment="1">
      <alignment horizontal="left" indent="1"/>
    </xf>
    <xf numFmtId="175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 indent="1"/>
    </xf>
    <xf numFmtId="171" fontId="2" fillId="0" borderId="0" xfId="0" applyNumberFormat="1" applyFont="1"/>
    <xf numFmtId="0" fontId="0" fillId="9" borderId="0" xfId="0" applyFill="1"/>
    <xf numFmtId="0" fontId="0" fillId="10" borderId="0" xfId="0" applyFill="1"/>
    <xf numFmtId="0" fontId="10" fillId="10" borderId="0" xfId="0" applyFont="1" applyFill="1"/>
    <xf numFmtId="0" fontId="6" fillId="0" borderId="0" xfId="0" applyFont="1"/>
    <xf numFmtId="0" fontId="0" fillId="0" borderId="13" xfId="0" applyBorder="1" applyAlignment="1">
      <alignment horizontal="center"/>
    </xf>
    <xf numFmtId="170" fontId="9" fillId="0" borderId="0" xfId="0" applyNumberFormat="1" applyFont="1"/>
    <xf numFmtId="0" fontId="0" fillId="0" borderId="0" xfId="0" applyAlignment="1">
      <alignment horizontal="center"/>
    </xf>
    <xf numFmtId="0" fontId="3" fillId="8" borderId="10" xfId="0" applyFont="1" applyFill="1" applyBorder="1"/>
    <xf numFmtId="0" fontId="11" fillId="0" borderId="0" xfId="0" applyFont="1"/>
    <xf numFmtId="176" fontId="5" fillId="0" borderId="0" xfId="0" applyNumberFormat="1" applyFont="1"/>
    <xf numFmtId="176" fontId="3" fillId="8" borderId="10" xfId="0" applyNumberFormat="1" applyFont="1" applyFill="1" applyBorder="1"/>
    <xf numFmtId="176" fontId="0" fillId="8" borderId="10" xfId="0" applyNumberFormat="1" applyFill="1" applyBorder="1"/>
    <xf numFmtId="170" fontId="5" fillId="0" borderId="0" xfId="0" applyNumberFormat="1" applyFont="1"/>
    <xf numFmtId="9" fontId="5" fillId="0" borderId="0" xfId="1" applyFont="1"/>
    <xf numFmtId="9" fontId="3" fillId="8" borderId="10" xfId="1" applyFont="1" applyFill="1" applyBorder="1"/>
    <xf numFmtId="9" fontId="5" fillId="0" borderId="2" xfId="0" applyNumberFormat="1" applyFont="1" applyBorder="1"/>
    <xf numFmtId="9" fontId="3" fillId="0" borderId="0" xfId="1" applyFont="1"/>
    <xf numFmtId="9" fontId="5" fillId="0" borderId="2" xfId="1" applyFont="1" applyFill="1" applyBorder="1"/>
    <xf numFmtId="9" fontId="3" fillId="0" borderId="0" xfId="1" applyFont="1" applyFill="1" applyBorder="1"/>
    <xf numFmtId="171" fontId="3" fillId="8" borderId="10" xfId="1" applyNumberFormat="1" applyFont="1" applyFill="1" applyBorder="1"/>
    <xf numFmtId="171" fontId="3" fillId="8" borderId="14" xfId="1" applyNumberFormat="1" applyFont="1" applyFill="1" applyBorder="1"/>
    <xf numFmtId="171" fontId="9" fillId="0" borderId="2" xfId="1" applyNumberFormat="1" applyFont="1" applyFill="1" applyBorder="1"/>
    <xf numFmtId="171" fontId="9" fillId="8" borderId="10" xfId="1" applyNumberFormat="1" applyFont="1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7" xfId="0" applyFill="1" applyBorder="1"/>
    <xf numFmtId="0" fontId="0" fillId="10" borderId="8" xfId="0" applyFill="1" applyBorder="1"/>
    <xf numFmtId="0" fontId="0" fillId="10" borderId="2" xfId="0" applyFill="1" applyBorder="1"/>
    <xf numFmtId="0" fontId="0" fillId="10" borderId="9" xfId="0" applyFill="1" applyBorder="1"/>
    <xf numFmtId="0" fontId="2" fillId="10" borderId="1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2" xfId="0" applyBorder="1" applyAlignment="1">
      <alignment horizontal="center"/>
    </xf>
    <xf numFmtId="10" fontId="0" fillId="0" borderId="0" xfId="1" applyNumberFormat="1" applyFont="1"/>
    <xf numFmtId="177" fontId="0" fillId="0" borderId="0" xfId="1" applyNumberFormat="1" applyFont="1"/>
    <xf numFmtId="17" fontId="3" fillId="0" borderId="0" xfId="0" applyNumberFormat="1" applyFont="1"/>
    <xf numFmtId="177" fontId="3" fillId="0" borderId="0" xfId="1" applyNumberFormat="1" applyFont="1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9" fontId="3" fillId="0" borderId="2" xfId="1" applyFont="1" applyBorder="1"/>
    <xf numFmtId="177" fontId="2" fillId="0" borderId="0" xfId="1" applyNumberFormat="1" applyFont="1"/>
    <xf numFmtId="9" fontId="3" fillId="0" borderId="0" xfId="1" applyFont="1" applyBorder="1"/>
    <xf numFmtId="0" fontId="0" fillId="0" borderId="4" xfId="0" applyBorder="1"/>
    <xf numFmtId="177" fontId="3" fillId="0" borderId="0" xfId="0" applyNumberFormat="1" applyFont="1"/>
    <xf numFmtId="10" fontId="0" fillId="0" borderId="2" xfId="0" applyNumberFormat="1" applyBorder="1"/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14" fillId="6" borderId="0" xfId="0" applyFont="1" applyFill="1"/>
    <xf numFmtId="0" fontId="15" fillId="2" borderId="0" xfId="0" applyFont="1" applyFill="1" applyAlignment="1">
      <alignment vertical="center"/>
    </xf>
    <xf numFmtId="0" fontId="16" fillId="3" borderId="0" xfId="0" applyFont="1" applyFill="1" applyAlignment="1">
      <alignment wrapText="1"/>
    </xf>
    <xf numFmtId="0" fontId="16" fillId="3" borderId="0" xfId="0" applyFont="1" applyFill="1" applyAlignment="1">
      <alignment horizontal="right" wrapText="1"/>
    </xf>
    <xf numFmtId="0" fontId="12" fillId="0" borderId="0" xfId="0" applyFont="1"/>
    <xf numFmtId="1" fontId="12" fillId="0" borderId="0" xfId="0" applyNumberFormat="1" applyFont="1"/>
    <xf numFmtId="0" fontId="17" fillId="2" borderId="0" xfId="0" applyFont="1" applyFill="1" applyAlignment="1">
      <alignment vertical="center"/>
    </xf>
    <xf numFmtId="0" fontId="18" fillId="0" borderId="0" xfId="0" applyFont="1" applyAlignment="1">
      <alignment horizontal="center" vertical="center"/>
    </xf>
    <xf numFmtId="178" fontId="0" fillId="0" borderId="0" xfId="0" applyNumberFormat="1"/>
    <xf numFmtId="44" fontId="2" fillId="0" borderId="0" xfId="2" applyFont="1"/>
    <xf numFmtId="9" fontId="0" fillId="0" borderId="0" xfId="1" applyFont="1" applyBorder="1"/>
    <xf numFmtId="0" fontId="2" fillId="0" borderId="0" xfId="0" applyFont="1" applyAlignment="1">
      <alignment horizontal="left"/>
    </xf>
    <xf numFmtId="0" fontId="0" fillId="7" borderId="0" xfId="0" applyFill="1"/>
    <xf numFmtId="179" fontId="3" fillId="0" borderId="0" xfId="1" applyNumberFormat="1" applyFont="1" applyBorder="1"/>
    <xf numFmtId="178" fontId="5" fillId="0" borderId="0" xfId="0" applyNumberFormat="1" applyFont="1"/>
    <xf numFmtId="0" fontId="19" fillId="0" borderId="0" xfId="0" applyFont="1"/>
    <xf numFmtId="0" fontId="4" fillId="11" borderId="0" xfId="0" applyFont="1" applyFill="1" applyAlignment="1">
      <alignment horizontal="left" indent="1"/>
    </xf>
    <xf numFmtId="9" fontId="4" fillId="11" borderId="0" xfId="0" applyNumberFormat="1" applyFont="1" applyFill="1"/>
    <xf numFmtId="9" fontId="8" fillId="11" borderId="0" xfId="1" applyFont="1" applyFill="1" applyBorder="1"/>
    <xf numFmtId="0" fontId="0" fillId="11" borderId="0" xfId="0" applyFill="1"/>
    <xf numFmtId="9" fontId="4" fillId="0" borderId="0" xfId="1" applyFont="1" applyBorder="1" applyAlignment="1">
      <alignment horizontal="left" indent="1"/>
    </xf>
    <xf numFmtId="9" fontId="8" fillId="0" borderId="0" xfId="1" applyFont="1" applyBorder="1"/>
    <xf numFmtId="0" fontId="0" fillId="0" borderId="0" xfId="0" applyAlignment="1">
      <alignment horizontal="left" indent="1"/>
    </xf>
    <xf numFmtId="0" fontId="2" fillId="7" borderId="4" xfId="0" applyFont="1" applyFill="1" applyBorder="1" applyAlignment="1">
      <alignment horizontal="right"/>
    </xf>
    <xf numFmtId="0" fontId="2" fillId="7" borderId="5" xfId="0" applyFont="1" applyFill="1" applyBorder="1" applyAlignment="1">
      <alignment horizontal="right"/>
    </xf>
    <xf numFmtId="9" fontId="5" fillId="7" borderId="0" xfId="1" applyFont="1" applyFill="1" applyBorder="1"/>
    <xf numFmtId="9" fontId="3" fillId="7" borderId="0" xfId="1" applyFont="1" applyFill="1" applyBorder="1"/>
    <xf numFmtId="9" fontId="3" fillId="7" borderId="7" xfId="1" applyFont="1" applyFill="1" applyBorder="1"/>
    <xf numFmtId="9" fontId="5" fillId="0" borderId="0" xfId="0" applyNumberFormat="1" applyFont="1"/>
    <xf numFmtId="9" fontId="3" fillId="8" borderId="14" xfId="1" applyFont="1" applyFill="1" applyBorder="1"/>
    <xf numFmtId="9" fontId="9" fillId="0" borderId="2" xfId="1" applyFont="1" applyFill="1" applyBorder="1"/>
    <xf numFmtId="9" fontId="5" fillId="7" borderId="7" xfId="1" applyFont="1" applyFill="1" applyBorder="1"/>
    <xf numFmtId="9" fontId="5" fillId="0" borderId="0" xfId="0" applyNumberFormat="1" applyFont="1" applyAlignment="1">
      <alignment horizontal="right"/>
    </xf>
    <xf numFmtId="9" fontId="5" fillId="7" borderId="2" xfId="1" applyFont="1" applyFill="1" applyBorder="1"/>
    <xf numFmtId="9" fontId="1" fillId="0" borderId="0" xfId="1" applyFont="1"/>
    <xf numFmtId="0" fontId="0" fillId="0" borderId="7" xfId="0" applyBorder="1"/>
    <xf numFmtId="168" fontId="2" fillId="0" borderId="9" xfId="0" applyNumberFormat="1" applyFont="1" applyBorder="1"/>
    <xf numFmtId="180" fontId="0" fillId="0" borderId="0" xfId="0" applyNumberFormat="1"/>
    <xf numFmtId="180" fontId="2" fillId="0" borderId="0" xfId="0" applyNumberFormat="1" applyFont="1"/>
    <xf numFmtId="180" fontId="2" fillId="0" borderId="7" xfId="0" applyNumberFormat="1" applyFont="1" applyBorder="1"/>
    <xf numFmtId="9" fontId="4" fillId="0" borderId="7" xfId="1" applyFont="1" applyBorder="1"/>
    <xf numFmtId="9" fontId="4" fillId="0" borderId="0" xfId="1" applyFont="1" applyBorder="1"/>
    <xf numFmtId="0" fontId="0" fillId="0" borderId="9" xfId="0" applyBorder="1"/>
    <xf numFmtId="180" fontId="0" fillId="0" borderId="7" xfId="0" applyNumberFormat="1" applyBorder="1"/>
    <xf numFmtId="0" fontId="2" fillId="0" borderId="4" xfId="0" applyFont="1" applyBorder="1"/>
    <xf numFmtId="180" fontId="2" fillId="0" borderId="4" xfId="0" applyNumberFormat="1" applyFont="1" applyBorder="1"/>
    <xf numFmtId="0" fontId="0" fillId="0" borderId="5" xfId="0" applyBorder="1"/>
    <xf numFmtId="0" fontId="2" fillId="0" borderId="9" xfId="0" applyFont="1" applyBorder="1"/>
    <xf numFmtId="0" fontId="0" fillId="0" borderId="9" xfId="0" applyBorder="1" applyAlignment="1">
      <alignment horizontal="centerContinuous"/>
    </xf>
    <xf numFmtId="181" fontId="0" fillId="0" borderId="0" xfId="0" applyNumberFormat="1"/>
    <xf numFmtId="182" fontId="3" fillId="0" borderId="0" xfId="0" applyNumberFormat="1" applyFont="1"/>
    <xf numFmtId="180" fontId="5" fillId="0" borderId="0" xfId="0" applyNumberFormat="1" applyFont="1"/>
    <xf numFmtId="177" fontId="5" fillId="0" borderId="10" xfId="1" applyNumberFormat="1" applyFont="1" applyBorder="1"/>
    <xf numFmtId="180" fontId="5" fillId="0" borderId="7" xfId="0" applyNumberFormat="1" applyFont="1" applyBorder="1"/>
    <xf numFmtId="176" fontId="5" fillId="0" borderId="7" xfId="0" applyNumberFormat="1" applyFont="1" applyBorder="1"/>
    <xf numFmtId="1" fontId="5" fillId="0" borderId="0" xfId="0" applyNumberFormat="1" applyFont="1"/>
    <xf numFmtId="1" fontId="5" fillId="0" borderId="7" xfId="0" applyNumberFormat="1" applyFont="1" applyBorder="1"/>
    <xf numFmtId="0" fontId="9" fillId="0" borderId="0" xfId="0" applyFont="1"/>
    <xf numFmtId="177" fontId="0" fillId="0" borderId="0" xfId="0" applyNumberFormat="1"/>
    <xf numFmtId="184" fontId="0" fillId="0" borderId="0" xfId="0" applyNumberFormat="1" applyAlignment="1">
      <alignment horizontal="center" vertical="center"/>
    </xf>
    <xf numFmtId="0" fontId="0" fillId="0" borderId="15" xfId="0" applyBorder="1" applyAlignment="1">
      <alignment vertical="center"/>
    </xf>
    <xf numFmtId="183" fontId="0" fillId="0" borderId="16" xfId="0" applyNumberFormat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185" fontId="0" fillId="0" borderId="20" xfId="0" applyNumberFormat="1" applyBorder="1" applyAlignment="1">
      <alignment horizontal="center" vertical="center"/>
    </xf>
    <xf numFmtId="0" fontId="21" fillId="12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21" fillId="12" borderId="0" xfId="0" quotePrefix="1" applyFont="1" applyFill="1" applyAlignment="1">
      <alignment horizontal="center"/>
    </xf>
    <xf numFmtId="9" fontId="4" fillId="0" borderId="0" xfId="0" applyNumberFormat="1" applyFont="1"/>
    <xf numFmtId="0" fontId="0" fillId="0" borderId="17" xfId="0" applyBorder="1"/>
    <xf numFmtId="171" fontId="0" fillId="0" borderId="7" xfId="0" applyNumberFormat="1" applyBorder="1"/>
    <xf numFmtId="176" fontId="0" fillId="0" borderId="0" xfId="0" applyNumberFormat="1"/>
    <xf numFmtId="176" fontId="0" fillId="0" borderId="7" xfId="0" applyNumberFormat="1" applyBorder="1"/>
    <xf numFmtId="9" fontId="8" fillId="0" borderId="0" xfId="1" applyFont="1" applyBorder="1" applyAlignment="1">
      <alignment horizontal="center" vertical="center"/>
    </xf>
    <xf numFmtId="171" fontId="2" fillId="0" borderId="2" xfId="0" applyNumberFormat="1" applyFont="1" applyBorder="1"/>
    <xf numFmtId="171" fontId="2" fillId="0" borderId="9" xfId="0" applyNumberFormat="1" applyFont="1" applyBorder="1"/>
    <xf numFmtId="176" fontId="0" fillId="0" borderId="5" xfId="0" applyNumberFormat="1" applyBorder="1"/>
    <xf numFmtId="9" fontId="3" fillId="0" borderId="10" xfId="1" applyFont="1" applyBorder="1" applyAlignment="1">
      <alignment horizontal="center" vertical="center"/>
    </xf>
    <xf numFmtId="180" fontId="0" fillId="0" borderId="17" xfId="0" applyNumberFormat="1" applyBorder="1"/>
    <xf numFmtId="14" fontId="0" fillId="0" borderId="0" xfId="0" applyNumberFormat="1"/>
    <xf numFmtId="186" fontId="2" fillId="0" borderId="0" xfId="0" applyNumberFormat="1" applyFont="1"/>
    <xf numFmtId="179" fontId="3" fillId="0" borderId="0" xfId="1" applyNumberFormat="1" applyFont="1"/>
    <xf numFmtId="0" fontId="4" fillId="0" borderId="17" xfId="0" applyFont="1" applyBorder="1"/>
    <xf numFmtId="9" fontId="4" fillId="0" borderId="17" xfId="1" applyFont="1" applyBorder="1"/>
    <xf numFmtId="9" fontId="2" fillId="0" borderId="0" xfId="1" applyFont="1" applyBorder="1"/>
    <xf numFmtId="0" fontId="0" fillId="0" borderId="6" xfId="0" applyBorder="1"/>
    <xf numFmtId="180" fontId="0" fillId="0" borderId="0" xfId="0" applyNumberFormat="1" applyAlignment="1">
      <alignment horizontal="center"/>
    </xf>
    <xf numFmtId="180" fontId="0" fillId="0" borderId="7" xfId="0" applyNumberFormat="1" applyBorder="1" applyAlignment="1">
      <alignment horizontal="center"/>
    </xf>
    <xf numFmtId="180" fontId="0" fillId="0" borderId="3" xfId="0" applyNumberFormat="1" applyBorder="1" applyAlignment="1">
      <alignment horizontal="center"/>
    </xf>
    <xf numFmtId="180" fontId="0" fillId="0" borderId="17" xfId="0" applyNumberFormat="1" applyBorder="1" applyAlignment="1">
      <alignment horizontal="center"/>
    </xf>
    <xf numFmtId="180" fontId="0" fillId="0" borderId="6" xfId="0" applyNumberFormat="1" applyBorder="1" applyAlignment="1">
      <alignment horizontal="center"/>
    </xf>
    <xf numFmtId="180" fontId="0" fillId="0" borderId="8" xfId="0" applyNumberFormat="1" applyBorder="1" applyAlignment="1">
      <alignment horizontal="center"/>
    </xf>
    <xf numFmtId="180" fontId="0" fillId="0" borderId="2" xfId="0" applyNumberFormat="1" applyBorder="1" applyAlignment="1">
      <alignment horizontal="center"/>
    </xf>
    <xf numFmtId="180" fontId="0" fillId="0" borderId="9" xfId="0" applyNumberFormat="1" applyBorder="1" applyAlignment="1">
      <alignment horizontal="center"/>
    </xf>
    <xf numFmtId="180" fontId="0" fillId="0" borderId="10" xfId="0" applyNumberFormat="1" applyBorder="1" applyAlignment="1">
      <alignment horizontal="center"/>
    </xf>
    <xf numFmtId="0" fontId="0" fillId="5" borderId="6" xfId="0" applyFill="1" applyBorder="1"/>
    <xf numFmtId="9" fontId="0" fillId="5" borderId="7" xfId="0" applyNumberFormat="1" applyFill="1" applyBorder="1"/>
    <xf numFmtId="0" fontId="0" fillId="5" borderId="8" xfId="0" applyFill="1" applyBorder="1"/>
    <xf numFmtId="0" fontId="0" fillId="5" borderId="2" xfId="0" applyFill="1" applyBorder="1"/>
    <xf numFmtId="182" fontId="0" fillId="5" borderId="9" xfId="0" applyNumberFormat="1" applyFill="1" applyBorder="1"/>
    <xf numFmtId="0" fontId="4" fillId="0" borderId="0" xfId="0" applyFont="1" applyAlignment="1">
      <alignment horizontal="left" indent="2"/>
    </xf>
    <xf numFmtId="0" fontId="4" fillId="0" borderId="2" xfId="0" applyFont="1" applyBorder="1" applyAlignment="1">
      <alignment horizontal="left" indent="2"/>
    </xf>
    <xf numFmtId="176" fontId="9" fillId="0" borderId="0" xfId="0" applyNumberFormat="1" applyFont="1"/>
    <xf numFmtId="171" fontId="20" fillId="0" borderId="0" xfId="0" applyNumberFormat="1" applyFont="1"/>
    <xf numFmtId="176" fontId="20" fillId="0" borderId="0" xfId="0" applyNumberFormat="1" applyFont="1"/>
    <xf numFmtId="176" fontId="20" fillId="0" borderId="2" xfId="0" applyNumberFormat="1" applyFont="1" applyBorder="1"/>
    <xf numFmtId="0" fontId="22" fillId="0" borderId="0" xfId="0" applyFont="1" applyAlignment="1">
      <alignment horizontal="left" vertical="center"/>
    </xf>
    <xf numFmtId="0" fontId="23" fillId="0" borderId="0" xfId="0" applyFont="1"/>
    <xf numFmtId="0" fontId="23" fillId="0" borderId="0" xfId="0" applyFont="1" applyAlignment="1">
      <alignment horizontal="left" vertical="center"/>
    </xf>
    <xf numFmtId="10" fontId="0" fillId="0" borderId="0" xfId="0" applyNumberFormat="1" applyAlignment="1">
      <alignment horizontal="center"/>
    </xf>
    <xf numFmtId="10" fontId="0" fillId="7" borderId="0" xfId="0" applyNumberFormat="1" applyFill="1" applyAlignment="1">
      <alignment horizontal="center"/>
    </xf>
    <xf numFmtId="10" fontId="0" fillId="7" borderId="0" xfId="0" applyNumberFormat="1" applyFill="1"/>
    <xf numFmtId="188" fontId="0" fillId="0" borderId="0" xfId="0" applyNumberFormat="1" applyAlignment="1">
      <alignment horizontal="center"/>
    </xf>
    <xf numFmtId="188" fontId="0" fillId="7" borderId="0" xfId="0" applyNumberFormat="1" applyFill="1" applyAlignment="1">
      <alignment horizontal="center"/>
    </xf>
    <xf numFmtId="188" fontId="0" fillId="0" borderId="16" xfId="0" applyNumberFormat="1" applyBorder="1" applyAlignment="1">
      <alignment horizontal="center" vertical="center"/>
    </xf>
    <xf numFmtId="188" fontId="0" fillId="0" borderId="0" xfId="0" applyNumberFormat="1" applyAlignment="1">
      <alignment horizontal="center" vertical="center"/>
    </xf>
    <xf numFmtId="188" fontId="0" fillId="0" borderId="20" xfId="0" applyNumberFormat="1" applyBorder="1" applyAlignment="1">
      <alignment horizontal="center" vertical="center"/>
    </xf>
    <xf numFmtId="188" fontId="0" fillId="0" borderId="21" xfId="0" applyNumberFormat="1" applyBorder="1" applyAlignment="1">
      <alignment horizontal="center" vertical="center"/>
    </xf>
    <xf numFmtId="188" fontId="0" fillId="0" borderId="7" xfId="0" applyNumberFormat="1" applyBorder="1" applyAlignment="1">
      <alignment horizontal="center" vertical="center"/>
    </xf>
    <xf numFmtId="188" fontId="0" fillId="0" borderId="22" xfId="0" applyNumberFormat="1" applyBorder="1" applyAlignment="1">
      <alignment horizontal="center" vertical="center"/>
    </xf>
    <xf numFmtId="6" fontId="0" fillId="0" borderId="0" xfId="0" applyNumberFormat="1" applyAlignment="1">
      <alignment horizontal="center"/>
    </xf>
    <xf numFmtId="179" fontId="0" fillId="0" borderId="16" xfId="1" applyNumberFormat="1" applyFont="1" applyBorder="1" applyAlignment="1">
      <alignment horizontal="center" vertical="center"/>
    </xf>
    <xf numFmtId="179" fontId="0" fillId="0" borderId="0" xfId="1" applyNumberFormat="1" applyFont="1" applyAlignment="1">
      <alignment horizontal="center" vertical="center"/>
    </xf>
    <xf numFmtId="179" fontId="0" fillId="0" borderId="20" xfId="1" applyNumberFormat="1" applyFont="1" applyBorder="1" applyAlignment="1">
      <alignment horizontal="center" vertical="center"/>
    </xf>
    <xf numFmtId="179" fontId="0" fillId="0" borderId="21" xfId="1" applyNumberFormat="1" applyFont="1" applyBorder="1" applyAlignment="1">
      <alignment horizontal="center" vertical="center"/>
    </xf>
    <xf numFmtId="179" fontId="0" fillId="0" borderId="7" xfId="1" applyNumberFormat="1" applyFont="1" applyBorder="1" applyAlignment="1">
      <alignment horizontal="center" vertical="center"/>
    </xf>
    <xf numFmtId="179" fontId="0" fillId="0" borderId="22" xfId="1" applyNumberFormat="1" applyFont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179" fontId="0" fillId="0" borderId="0" xfId="0" applyNumberFormat="1"/>
    <xf numFmtId="189" fontId="0" fillId="0" borderId="0" xfId="0" applyNumberFormat="1" applyAlignment="1">
      <alignment horizontal="center"/>
    </xf>
    <xf numFmtId="177" fontId="0" fillId="7" borderId="0" xfId="0" applyNumberFormat="1" applyFill="1"/>
    <xf numFmtId="183" fontId="0" fillId="7" borderId="0" xfId="0" applyNumberFormat="1" applyFill="1" applyAlignment="1">
      <alignment horizontal="center"/>
    </xf>
    <xf numFmtId="190" fontId="3" fillId="0" borderId="10" xfId="1" applyNumberFormat="1" applyFont="1" applyFill="1" applyBorder="1"/>
    <xf numFmtId="179" fontId="3" fillId="8" borderId="10" xfId="1" applyNumberFormat="1" applyFont="1" applyFill="1" applyBorder="1"/>
    <xf numFmtId="190" fontId="3" fillId="0" borderId="0" xfId="1" applyNumberFormat="1" applyFont="1" applyFill="1" applyBorder="1"/>
    <xf numFmtId="0" fontId="0" fillId="0" borderId="0" xfId="0" quotePrefix="1"/>
    <xf numFmtId="9" fontId="6" fillId="0" borderId="0" xfId="1" applyFont="1" applyFill="1" applyBorder="1" applyAlignment="1">
      <alignment horizontal="center"/>
    </xf>
    <xf numFmtId="189" fontId="3" fillId="8" borderId="14" xfId="1" applyNumberFormat="1" applyFont="1" applyFill="1" applyBorder="1"/>
    <xf numFmtId="189" fontId="9" fillId="0" borderId="2" xfId="1" applyNumberFormat="1" applyFont="1" applyFill="1" applyBorder="1"/>
    <xf numFmtId="179" fontId="3" fillId="8" borderId="14" xfId="1" applyNumberFormat="1" applyFont="1" applyFill="1" applyBorder="1"/>
    <xf numFmtId="179" fontId="9" fillId="0" borderId="2" xfId="1" applyNumberFormat="1" applyFont="1" applyFill="1" applyBorder="1"/>
    <xf numFmtId="179" fontId="4" fillId="0" borderId="0" xfId="1" applyNumberFormat="1" applyFont="1"/>
    <xf numFmtId="179" fontId="4" fillId="0" borderId="7" xfId="1" applyNumberFormat="1" applyFont="1" applyBorder="1"/>
    <xf numFmtId="182" fontId="3" fillId="8" borderId="10" xfId="0" applyNumberFormat="1" applyFont="1" applyFill="1" applyBorder="1"/>
    <xf numFmtId="2" fontId="0" fillId="0" borderId="0" xfId="0" applyNumberFormat="1"/>
    <xf numFmtId="1" fontId="2" fillId="0" borderId="0" xfId="0" applyNumberFormat="1" applyFont="1"/>
    <xf numFmtId="0" fontId="0" fillId="0" borderId="8" xfId="0" applyBorder="1"/>
    <xf numFmtId="0" fontId="2" fillId="0" borderId="3" xfId="0" applyFont="1" applyBorder="1"/>
    <xf numFmtId="2" fontId="0" fillId="0" borderId="17" xfId="0" applyNumberFormat="1" applyBorder="1"/>
    <xf numFmtId="176" fontId="3" fillId="0" borderId="0" xfId="0" applyNumberFormat="1" applyFont="1"/>
    <xf numFmtId="191" fontId="3" fillId="0" borderId="0" xfId="0" applyNumberFormat="1" applyFont="1"/>
    <xf numFmtId="191" fontId="9" fillId="0" borderId="0" xfId="0" applyNumberFormat="1" applyFont="1"/>
    <xf numFmtId="176" fontId="9" fillId="0" borderId="7" xfId="0" applyNumberFormat="1" applyFont="1" applyBorder="1"/>
    <xf numFmtId="176" fontId="3" fillId="0" borderId="7" xfId="0" applyNumberFormat="1" applyFont="1" applyBorder="1"/>
    <xf numFmtId="191" fontId="3" fillId="0" borderId="7" xfId="0" applyNumberFormat="1" applyFont="1" applyBorder="1"/>
    <xf numFmtId="191" fontId="9" fillId="0" borderId="7" xfId="0" applyNumberFormat="1" applyFont="1" applyBorder="1"/>
    <xf numFmtId="178" fontId="0" fillId="0" borderId="7" xfId="0" applyNumberFormat="1" applyBorder="1"/>
    <xf numFmtId="2" fontId="0" fillId="0" borderId="7" xfId="0" applyNumberFormat="1" applyBorder="1"/>
    <xf numFmtId="2" fontId="0" fillId="0" borderId="23" xfId="0" applyNumberFormat="1" applyBorder="1"/>
    <xf numFmtId="1" fontId="2" fillId="0" borderId="7" xfId="0" applyNumberFormat="1" applyFont="1" applyBorder="1"/>
    <xf numFmtId="187" fontId="0" fillId="0" borderId="0" xfId="1" applyNumberFormat="1" applyFont="1" applyBorder="1"/>
    <xf numFmtId="187" fontId="4" fillId="0" borderId="0" xfId="1" applyNumberFormat="1" applyFont="1" applyBorder="1"/>
    <xf numFmtId="187" fontId="4" fillId="0" borderId="7" xfId="1" applyNumberFormat="1" applyFont="1" applyBorder="1"/>
    <xf numFmtId="187" fontId="4" fillId="0" borderId="0" xfId="1" applyNumberFormat="1" applyFont="1"/>
    <xf numFmtId="176" fontId="20" fillId="0" borderId="7" xfId="0" applyNumberFormat="1" applyFont="1" applyBorder="1"/>
    <xf numFmtId="0" fontId="0" fillId="0" borderId="17" xfId="0" applyBorder="1" applyAlignment="1">
      <alignment horizontal="left"/>
    </xf>
    <xf numFmtId="176" fontId="3" fillId="0" borderId="17" xfId="0" applyNumberFormat="1" applyFont="1" applyBorder="1"/>
    <xf numFmtId="176" fontId="3" fillId="0" borderId="23" xfId="0" applyNumberFormat="1" applyFont="1" applyBorder="1"/>
    <xf numFmtId="176" fontId="9" fillId="0" borderId="17" xfId="0" applyNumberFormat="1" applyFont="1" applyBorder="1"/>
    <xf numFmtId="0" fontId="4" fillId="0" borderId="17" xfId="0" applyFont="1" applyBorder="1" applyAlignment="1">
      <alignment horizontal="left" indent="1"/>
    </xf>
    <xf numFmtId="187" fontId="4" fillId="0" borderId="17" xfId="1" applyNumberFormat="1" applyFont="1" applyBorder="1"/>
    <xf numFmtId="187" fontId="4" fillId="0" borderId="23" xfId="1" applyNumberFormat="1" applyFont="1" applyBorder="1"/>
    <xf numFmtId="0" fontId="4" fillId="0" borderId="2" xfId="0" applyFont="1" applyBorder="1" applyAlignment="1">
      <alignment horizontal="right"/>
    </xf>
    <xf numFmtId="9" fontId="3" fillId="0" borderId="10" xfId="1" applyFont="1" applyBorder="1" applyAlignment="1">
      <alignment horizontal="center"/>
    </xf>
    <xf numFmtId="9" fontId="3" fillId="0" borderId="10" xfId="0" applyNumberFormat="1" applyFont="1" applyBorder="1" applyAlignment="1">
      <alignment horizontal="center"/>
    </xf>
    <xf numFmtId="187" fontId="25" fillId="0" borderId="0" xfId="1" applyNumberFormat="1" applyFont="1"/>
    <xf numFmtId="9" fontId="3" fillId="0" borderId="10" xfId="1" applyFont="1" applyBorder="1" applyAlignment="1">
      <alignment horizontal="left" indent="1"/>
    </xf>
    <xf numFmtId="176" fontId="3" fillId="8" borderId="14" xfId="0" applyNumberFormat="1" applyFont="1" applyFill="1" applyBorder="1"/>
    <xf numFmtId="176" fontId="9" fillId="0" borderId="2" xfId="0" applyNumberFormat="1" applyFont="1" applyFill="1" applyBorder="1"/>
    <xf numFmtId="0" fontId="0" fillId="0" borderId="0" xfId="0" applyAlignment="1">
      <alignment horizontal="right" indent="1"/>
    </xf>
    <xf numFmtId="0" fontId="2" fillId="0" borderId="2" xfId="0" applyFont="1" applyBorder="1" applyAlignment="1">
      <alignment horizontal="right"/>
    </xf>
    <xf numFmtId="0" fontId="0" fillId="0" borderId="17" xfId="0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Border="1"/>
    <xf numFmtId="189" fontId="0" fillId="0" borderId="0" xfId="0" applyNumberFormat="1" applyBorder="1" applyAlignment="1">
      <alignment horizontal="center"/>
    </xf>
    <xf numFmtId="189" fontId="0" fillId="0" borderId="2" xfId="0" applyNumberFormat="1" applyBorder="1" applyAlignment="1">
      <alignment horizontal="center"/>
    </xf>
    <xf numFmtId="189" fontId="0" fillId="0" borderId="17" xfId="0" applyNumberFormat="1" applyBorder="1" applyAlignment="1">
      <alignment horizontal="center"/>
    </xf>
    <xf numFmtId="0" fontId="0" fillId="0" borderId="0" xfId="0" applyFont="1"/>
    <xf numFmtId="177" fontId="3" fillId="0" borderId="0" xfId="1" applyNumberFormat="1" applyFont="1" applyFill="1"/>
    <xf numFmtId="0" fontId="0" fillId="0" borderId="2" xfId="0" applyFill="1" applyBorder="1" applyAlignment="1">
      <alignment horizontal="center"/>
    </xf>
    <xf numFmtId="0" fontId="0" fillId="0" borderId="0" xfId="0" applyFill="1"/>
    <xf numFmtId="0" fontId="3" fillId="0" borderId="0" xfId="0" applyFont="1" applyFill="1"/>
    <xf numFmtId="192" fontId="3" fillId="0" borderId="0" xfId="0" applyNumberFormat="1" applyFont="1" applyFill="1"/>
    <xf numFmtId="187" fontId="0" fillId="0" borderId="2" xfId="1" applyNumberFormat="1" applyFont="1" applyBorder="1"/>
    <xf numFmtId="176" fontId="9" fillId="0" borderId="0" xfId="0" applyNumberFormat="1" applyFont="1" applyFill="1"/>
    <xf numFmtId="168" fontId="2" fillId="0" borderId="0" xfId="0" applyNumberFormat="1" applyFont="1" applyBorder="1"/>
    <xf numFmtId="176" fontId="20" fillId="0" borderId="0" xfId="0" applyNumberFormat="1" applyFont="1" applyBorder="1"/>
    <xf numFmtId="171" fontId="2" fillId="0" borderId="0" xfId="0" applyNumberFormat="1" applyFont="1" applyBorder="1"/>
    <xf numFmtId="0" fontId="2" fillId="0" borderId="0" xfId="0" applyFont="1" applyFill="1" applyBorder="1" applyAlignment="1">
      <alignment horizontal="right"/>
    </xf>
    <xf numFmtId="0" fontId="0" fillId="0" borderId="0" xfId="0" applyFill="1" applyBorder="1"/>
    <xf numFmtId="9" fontId="5" fillId="0" borderId="0" xfId="1" applyFont="1" applyFill="1" applyBorder="1"/>
    <xf numFmtId="171" fontId="3" fillId="5" borderId="0" xfId="0" applyNumberFormat="1" applyFont="1" applyFill="1"/>
    <xf numFmtId="0" fontId="2" fillId="0" borderId="3" xfId="0" applyFont="1" applyFill="1" applyBorder="1"/>
    <xf numFmtId="0" fontId="0" fillId="0" borderId="23" xfId="0" applyBorder="1"/>
    <xf numFmtId="0" fontId="0" fillId="0" borderId="8" xfId="0" applyFill="1" applyBorder="1"/>
    <xf numFmtId="0" fontId="0" fillId="0" borderId="0" xfId="0" applyFill="1" applyAlignment="1">
      <alignment horizontal="right"/>
    </xf>
    <xf numFmtId="0" fontId="12" fillId="0" borderId="0" xfId="0" applyFont="1" applyAlignment="1">
      <alignment horizontal="center" vertical="center"/>
    </xf>
    <xf numFmtId="0" fontId="28" fillId="2" borderId="0" xfId="0" applyFont="1" applyFill="1" applyAlignment="1">
      <alignment vertical="center"/>
    </xf>
    <xf numFmtId="0" fontId="29" fillId="3" borderId="0" xfId="0" applyFont="1" applyFill="1" applyAlignment="1">
      <alignment wrapText="1"/>
    </xf>
    <xf numFmtId="0" fontId="29" fillId="3" borderId="0" xfId="0" applyFont="1" applyFill="1" applyAlignment="1">
      <alignment horizontal="right" wrapText="1"/>
    </xf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left" vertical="top"/>
    </xf>
    <xf numFmtId="164" fontId="29" fillId="0" borderId="0" xfId="0" applyNumberFormat="1" applyFont="1" applyAlignment="1">
      <alignment horizontal="right" vertical="top" wrapText="1"/>
    </xf>
    <xf numFmtId="164" fontId="30" fillId="0" borderId="0" xfId="0" applyNumberFormat="1" applyFont="1" applyAlignment="1">
      <alignment horizontal="right" vertical="top" wrapText="1"/>
    </xf>
    <xf numFmtId="164" fontId="29" fillId="0" borderId="1" xfId="0" applyNumberFormat="1" applyFont="1" applyBorder="1" applyAlignment="1">
      <alignment horizontal="right" vertical="top" wrapText="1"/>
    </xf>
    <xf numFmtId="164" fontId="31" fillId="0" borderId="1" xfId="0" applyNumberFormat="1" applyFont="1" applyBorder="1" applyAlignment="1">
      <alignment horizontal="right" vertical="top" wrapText="1"/>
    </xf>
    <xf numFmtId="9" fontId="12" fillId="0" borderId="0" xfId="1" applyFont="1"/>
    <xf numFmtId="165" fontId="30" fillId="0" borderId="0" xfId="0" applyNumberFormat="1" applyFont="1" applyAlignment="1">
      <alignment horizontal="right" vertical="top" wrapText="1"/>
    </xf>
    <xf numFmtId="166" fontId="30" fillId="0" borderId="0" xfId="0" applyNumberFormat="1" applyFont="1" applyAlignment="1">
      <alignment horizontal="right" vertical="top" wrapText="1"/>
    </xf>
    <xf numFmtId="167" fontId="30" fillId="0" borderId="0" xfId="0" applyNumberFormat="1" applyFont="1" applyAlignment="1">
      <alignment horizontal="right" vertical="top" wrapText="1"/>
    </xf>
    <xf numFmtId="0" fontId="0" fillId="0" borderId="0" xfId="0" applyFont="1" applyAlignment="1">
      <alignment horizontal="left"/>
    </xf>
    <xf numFmtId="180" fontId="32" fillId="13" borderId="0" xfId="0" applyNumberFormat="1" applyFont="1" applyFill="1" applyBorder="1" applyAlignment="1">
      <alignment horizontal="center"/>
    </xf>
    <xf numFmtId="177" fontId="6" fillId="13" borderId="0" xfId="0" applyNumberFormat="1" applyFont="1" applyFill="1" applyBorder="1" applyAlignment="1">
      <alignment horizontal="center"/>
    </xf>
    <xf numFmtId="179" fontId="6" fillId="13" borderId="0" xfId="0" applyNumberFormat="1" applyFont="1" applyFill="1" applyBorder="1" applyAlignment="1">
      <alignment horizontal="center"/>
    </xf>
    <xf numFmtId="180" fontId="0" fillId="0" borderId="23" xfId="0" applyNumberFormat="1" applyBorder="1" applyAlignment="1">
      <alignment horizontal="center"/>
    </xf>
    <xf numFmtId="182" fontId="6" fillId="13" borderId="0" xfId="0" applyNumberFormat="1" applyFont="1" applyFill="1" applyBorder="1" applyAlignment="1">
      <alignment horizontal="center"/>
    </xf>
    <xf numFmtId="168" fontId="0" fillId="0" borderId="0" xfId="0" applyNumberFormat="1"/>
    <xf numFmtId="9" fontId="0" fillId="0" borderId="0" xfId="0" applyNumberFormat="1"/>
    <xf numFmtId="0" fontId="2" fillId="0" borderId="0" xfId="0" applyFont="1" applyBorder="1"/>
    <xf numFmtId="176" fontId="0" fillId="0" borderId="17" xfId="0" applyNumberFormat="1" applyBorder="1"/>
    <xf numFmtId="0" fontId="4" fillId="0" borderId="0" xfId="0" applyFont="1" applyBorder="1" applyAlignment="1">
      <alignment horizontal="left" indent="1"/>
    </xf>
    <xf numFmtId="9" fontId="0" fillId="0" borderId="0" xfId="0" applyNumberFormat="1" applyBorder="1"/>
    <xf numFmtId="176" fontId="0" fillId="0" borderId="0" xfId="0" applyNumberFormat="1" applyBorder="1"/>
    <xf numFmtId="0" fontId="0" fillId="0" borderId="0" xfId="0" applyBorder="1" applyAlignment="1">
      <alignment horizontal="left" indent="1"/>
    </xf>
    <xf numFmtId="171" fontId="0" fillId="0" borderId="0" xfId="0" applyNumberFormat="1" applyBorder="1"/>
    <xf numFmtId="181" fontId="0" fillId="0" borderId="0" xfId="0" applyNumberFormat="1" applyBorder="1"/>
    <xf numFmtId="187" fontId="0" fillId="0" borderId="0" xfId="0" applyNumberFormat="1"/>
    <xf numFmtId="191" fontId="0" fillId="0" borderId="0" xfId="0" applyNumberFormat="1"/>
    <xf numFmtId="176" fontId="0" fillId="0" borderId="2" xfId="0" applyNumberFormat="1" applyBorder="1"/>
    <xf numFmtId="187" fontId="0" fillId="0" borderId="2" xfId="0" applyNumberFormat="1" applyBorder="1"/>
    <xf numFmtId="2" fontId="0" fillId="0" borderId="2" xfId="0" applyNumberFormat="1" applyBorder="1"/>
    <xf numFmtId="168" fontId="0" fillId="0" borderId="7" xfId="0" applyNumberFormat="1" applyBorder="1"/>
    <xf numFmtId="176" fontId="0" fillId="0" borderId="23" xfId="0" applyNumberFormat="1" applyBorder="1"/>
    <xf numFmtId="187" fontId="0" fillId="0" borderId="7" xfId="0" applyNumberFormat="1" applyBorder="1"/>
    <xf numFmtId="191" fontId="0" fillId="0" borderId="7" xfId="0" applyNumberFormat="1" applyBorder="1"/>
    <xf numFmtId="176" fontId="0" fillId="0" borderId="9" xfId="0" applyNumberFormat="1" applyBorder="1"/>
    <xf numFmtId="187" fontId="0" fillId="0" borderId="9" xfId="0" applyNumberFormat="1" applyBorder="1"/>
    <xf numFmtId="2" fontId="0" fillId="0" borderId="9" xfId="0" applyNumberFormat="1" applyBorder="1"/>
    <xf numFmtId="176" fontId="2" fillId="0" borderId="7" xfId="0" applyNumberFormat="1" applyFont="1" applyBorder="1"/>
    <xf numFmtId="176" fontId="2" fillId="0" borderId="0" xfId="0" applyNumberFormat="1" applyFont="1"/>
    <xf numFmtId="187" fontId="4" fillId="0" borderId="7" xfId="0" applyNumberFormat="1" applyFont="1" applyBorder="1"/>
    <xf numFmtId="189" fontId="4" fillId="0" borderId="0" xfId="0" applyNumberFormat="1" applyFont="1"/>
    <xf numFmtId="168" fontId="0" fillId="0" borderId="2" xfId="0" applyNumberFormat="1" applyBorder="1"/>
    <xf numFmtId="187" fontId="0" fillId="0" borderId="17" xfId="0" applyNumberFormat="1" applyBorder="1"/>
    <xf numFmtId="168" fontId="0" fillId="0" borderId="9" xfId="0" applyNumberFormat="1" applyBorder="1"/>
    <xf numFmtId="187" fontId="0" fillId="0" borderId="23" xfId="0" applyNumberFormat="1" applyBorder="1"/>
    <xf numFmtId="168" fontId="0" fillId="0" borderId="2" xfId="0" applyNumberFormat="1" applyFont="1" applyBorder="1"/>
    <xf numFmtId="187" fontId="1" fillId="0" borderId="0" xfId="1" applyNumberFormat="1" applyFont="1"/>
    <xf numFmtId="171" fontId="5" fillId="0" borderId="0" xfId="0" applyNumberFormat="1" applyFont="1" applyBorder="1"/>
    <xf numFmtId="171" fontId="5" fillId="0" borderId="7" xfId="0" applyNumberFormat="1" applyFont="1" applyBorder="1"/>
    <xf numFmtId="176" fontId="5" fillId="0" borderId="2" xfId="0" applyNumberFormat="1" applyFont="1" applyBorder="1"/>
    <xf numFmtId="176" fontId="5" fillId="0" borderId="9" xfId="0" applyNumberFormat="1" applyFont="1" applyBorder="1"/>
    <xf numFmtId="0" fontId="0" fillId="0" borderId="6" xfId="0" applyBorder="1" applyAlignment="1">
      <alignment horizontal="left"/>
    </xf>
    <xf numFmtId="0" fontId="2" fillId="0" borderId="6" xfId="0" applyFont="1" applyBorder="1"/>
    <xf numFmtId="171" fontId="2" fillId="0" borderId="7" xfId="0" applyNumberFormat="1" applyFont="1" applyBorder="1"/>
    <xf numFmtId="0" fontId="4" fillId="0" borderId="6" xfId="0" applyFont="1" applyBorder="1" applyAlignment="1">
      <alignment horizontal="left" indent="1"/>
    </xf>
    <xf numFmtId="171" fontId="0" fillId="0" borderId="0" xfId="0" applyNumberFormat="1" applyFont="1" applyBorder="1"/>
    <xf numFmtId="171" fontId="0" fillId="0" borderId="7" xfId="0" applyNumberFormat="1" applyFont="1" applyBorder="1"/>
    <xf numFmtId="0" fontId="12" fillId="0" borderId="6" xfId="0" applyFont="1" applyBorder="1"/>
    <xf numFmtId="9" fontId="0" fillId="0" borderId="7" xfId="1" applyFont="1" applyBorder="1"/>
    <xf numFmtId="9" fontId="0" fillId="0" borderId="9" xfId="1" applyFont="1" applyBorder="1"/>
    <xf numFmtId="0" fontId="0" fillId="0" borderId="0" xfId="0" applyFont="1" applyAlignment="1">
      <alignment horizontal="left" indent="1"/>
    </xf>
    <xf numFmtId="0" fontId="2" fillId="0" borderId="0" xfId="0" applyFont="1" applyAlignment="1">
      <alignment horizontal="left" indent="1"/>
    </xf>
    <xf numFmtId="1" fontId="0" fillId="0" borderId="0" xfId="0" applyNumberFormat="1"/>
    <xf numFmtId="0" fontId="2" fillId="0" borderId="0" xfId="0" applyFont="1" applyBorder="1" applyAlignment="1">
      <alignment horizontal="left"/>
    </xf>
    <xf numFmtId="0" fontId="0" fillId="0" borderId="11" xfId="0" applyBorder="1" applyAlignment="1">
      <alignment horizontal="centerContinuous"/>
    </xf>
    <xf numFmtId="0" fontId="0" fillId="0" borderId="13" xfId="0" applyBorder="1" applyAlignment="1">
      <alignment horizontal="centerContinuous"/>
    </xf>
    <xf numFmtId="0" fontId="4" fillId="0" borderId="6" xfId="0" applyFont="1" applyBorder="1"/>
    <xf numFmtId="0" fontId="0" fillId="0" borderId="3" xfId="0" applyBorder="1"/>
    <xf numFmtId="0" fontId="2" fillId="0" borderId="8" xfId="0" applyFont="1" applyBorder="1"/>
    <xf numFmtId="180" fontId="2" fillId="0" borderId="9" xfId="0" applyNumberFormat="1" applyFont="1" applyBorder="1"/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4" fillId="0" borderId="3" xfId="0" applyFont="1" applyBorder="1"/>
    <xf numFmtId="182" fontId="9" fillId="0" borderId="7" xfId="0" applyNumberFormat="1" applyFont="1" applyBorder="1"/>
    <xf numFmtId="179" fontId="9" fillId="0" borderId="7" xfId="1" applyNumberFormat="1" applyFont="1" applyBorder="1"/>
    <xf numFmtId="180" fontId="9" fillId="0" borderId="7" xfId="0" applyNumberFormat="1" applyFont="1" applyBorder="1"/>
    <xf numFmtId="181" fontId="0" fillId="0" borderId="5" xfId="0" applyNumberFormat="1" applyBorder="1"/>
    <xf numFmtId="179" fontId="3" fillId="0" borderId="0" xfId="1" applyNumberFormat="1" applyFont="1" applyFill="1" applyBorder="1"/>
    <xf numFmtId="0" fontId="0" fillId="0" borderId="12" xfId="0" applyBorder="1" applyAlignment="1">
      <alignment horizontal="centerContinuous"/>
    </xf>
    <xf numFmtId="0" fontId="0" fillId="0" borderId="6" xfId="0" applyBorder="1" applyAlignment="1">
      <alignment horizontal="left" indent="1"/>
    </xf>
    <xf numFmtId="0" fontId="3" fillId="0" borderId="7" xfId="0" applyFont="1" applyBorder="1"/>
    <xf numFmtId="0" fontId="0" fillId="0" borderId="0" xfId="0" applyFill="1" applyBorder="1" applyAlignment="1">
      <alignment horizontal="centerContinuous"/>
    </xf>
    <xf numFmtId="0" fontId="2" fillId="0" borderId="0" xfId="0" applyFont="1" applyFill="1" applyBorder="1"/>
    <xf numFmtId="180" fontId="2" fillId="0" borderId="0" xfId="0" applyNumberFormat="1" applyFont="1" applyFill="1" applyBorder="1"/>
    <xf numFmtId="180" fontId="0" fillId="0" borderId="0" xfId="0" applyNumberFormat="1" applyFill="1" applyBorder="1"/>
    <xf numFmtId="182" fontId="9" fillId="0" borderId="0" xfId="0" applyNumberFormat="1" applyFont="1" applyFill="1" applyBorder="1"/>
    <xf numFmtId="193" fontId="0" fillId="0" borderId="0" xfId="4" applyNumberFormat="1" applyFont="1" applyFill="1" applyBorder="1"/>
    <xf numFmtId="9" fontId="0" fillId="0" borderId="0" xfId="1" applyFont="1" applyFill="1" applyBorder="1"/>
    <xf numFmtId="180" fontId="0" fillId="0" borderId="0" xfId="0" applyNumberFormat="1" applyFill="1" applyBorder="1" applyAlignment="1">
      <alignment horizontal="centerContinuous"/>
    </xf>
    <xf numFmtId="179" fontId="0" fillId="0" borderId="0" xfId="0" applyNumberFormat="1" applyFill="1" applyBorder="1"/>
    <xf numFmtId="9" fontId="0" fillId="0" borderId="0" xfId="0" applyNumberFormat="1" applyFill="1" applyBorder="1"/>
    <xf numFmtId="0" fontId="0" fillId="0" borderId="0" xfId="0" applyFont="1" applyFill="1" applyBorder="1" applyAlignment="1">
      <alignment horizontal="centerContinuous"/>
    </xf>
    <xf numFmtId="180" fontId="0" fillId="0" borderId="0" xfId="0" applyNumberFormat="1" applyFont="1" applyFill="1" applyBorder="1" applyAlignment="1">
      <alignment horizontal="centerContinuous"/>
    </xf>
    <xf numFmtId="176" fontId="0" fillId="0" borderId="0" xfId="0" applyNumberFormat="1" applyFill="1" applyBorder="1"/>
    <xf numFmtId="0" fontId="0" fillId="0" borderId="6" xfId="0" applyBorder="1" applyAlignment="1">
      <alignment horizontal="center"/>
    </xf>
    <xf numFmtId="9" fontId="5" fillId="7" borderId="9" xfId="1" applyFont="1" applyFill="1" applyBorder="1"/>
    <xf numFmtId="186" fontId="0" fillId="0" borderId="0" xfId="0" applyNumberFormat="1"/>
    <xf numFmtId="172" fontId="0" fillId="10" borderId="5" xfId="0" applyNumberFormat="1" applyFill="1" applyBorder="1"/>
    <xf numFmtId="176" fontId="3" fillId="0" borderId="7" xfId="0" applyNumberFormat="1" applyFont="1" applyFill="1" applyBorder="1"/>
    <xf numFmtId="177" fontId="5" fillId="0" borderId="10" xfId="1" applyNumberFormat="1" applyFont="1" applyBorder="1" applyAlignment="1">
      <alignment horizontal="center"/>
    </xf>
    <xf numFmtId="177" fontId="3" fillId="0" borderId="17" xfId="1" applyNumberFormat="1" applyFont="1" applyBorder="1"/>
    <xf numFmtId="17" fontId="3" fillId="0" borderId="17" xfId="0" applyNumberFormat="1" applyFont="1" applyBorder="1"/>
    <xf numFmtId="0" fontId="3" fillId="0" borderId="17" xfId="0" applyFont="1" applyFill="1" applyBorder="1"/>
    <xf numFmtId="177" fontId="0" fillId="0" borderId="17" xfId="1" applyNumberFormat="1" applyFont="1" applyBorder="1"/>
    <xf numFmtId="171" fontId="0" fillId="0" borderId="17" xfId="0" applyNumberFormat="1" applyBorder="1"/>
    <xf numFmtId="177" fontId="3" fillId="0" borderId="0" xfId="1" applyNumberFormat="1" applyFont="1" applyAlignment="1">
      <alignment horizontal="centerContinuous"/>
    </xf>
    <xf numFmtId="17" fontId="3" fillId="0" borderId="0" xfId="0" applyNumberFormat="1" applyFont="1" applyAlignment="1">
      <alignment horizontal="centerContinuous"/>
    </xf>
    <xf numFmtId="171" fontId="3" fillId="0" borderId="0" xfId="0" applyNumberFormat="1" applyFont="1" applyAlignment="1">
      <alignment horizontal="centerContinuous"/>
    </xf>
    <xf numFmtId="0" fontId="3" fillId="0" borderId="0" xfId="0" applyFont="1" applyFill="1" applyAlignment="1">
      <alignment horizontal="centerContinuous"/>
    </xf>
    <xf numFmtId="177" fontId="0" fillId="0" borderId="0" xfId="1" applyNumberFormat="1" applyFont="1" applyAlignment="1">
      <alignment horizontal="centerContinuous"/>
    </xf>
    <xf numFmtId="171" fontId="0" fillId="0" borderId="0" xfId="0" applyNumberFormat="1" applyAlignment="1">
      <alignment horizontal="centerContinuous"/>
    </xf>
    <xf numFmtId="177" fontId="9" fillId="0" borderId="0" xfId="1" applyNumberFormat="1" applyFont="1"/>
    <xf numFmtId="177" fontId="9" fillId="0" borderId="17" xfId="1" applyNumberFormat="1" applyFont="1" applyBorder="1"/>
    <xf numFmtId="177" fontId="20" fillId="0" borderId="0" xfId="1" applyNumberFormat="1" applyFont="1"/>
    <xf numFmtId="188" fontId="20" fillId="0" borderId="0" xfId="1" applyNumberFormat="1" applyFont="1"/>
    <xf numFmtId="0" fontId="4" fillId="0" borderId="0" xfId="0" applyFont="1" applyAlignment="1">
      <alignment horizontal="right"/>
    </xf>
    <xf numFmtId="177" fontId="25" fillId="0" borderId="0" xfId="1" applyNumberFormat="1" applyFont="1" applyFill="1" applyBorder="1" applyAlignment="1">
      <alignment horizontal="left" indent="1"/>
    </xf>
    <xf numFmtId="171" fontId="3" fillId="0" borderId="24" xfId="0" applyNumberFormat="1" applyFont="1" applyBorder="1"/>
    <xf numFmtId="171" fontId="9" fillId="0" borderId="6" xfId="0" applyNumberFormat="1" applyFont="1" applyBorder="1"/>
    <xf numFmtId="171" fontId="3" fillId="0" borderId="6" xfId="0" applyNumberFormat="1" applyFont="1" applyBorder="1"/>
    <xf numFmtId="171" fontId="3" fillId="0" borderId="0" xfId="0" applyNumberFormat="1" applyFont="1" applyBorder="1"/>
    <xf numFmtId="171" fontId="20" fillId="0" borderId="6" xfId="0" applyNumberFormat="1" applyFont="1" applyBorder="1"/>
    <xf numFmtId="188" fontId="20" fillId="0" borderId="0" xfId="1" applyNumberFormat="1" applyFont="1" applyBorder="1"/>
    <xf numFmtId="10" fontId="9" fillId="0" borderId="0" xfId="0" applyNumberFormat="1" applyFont="1"/>
    <xf numFmtId="180" fontId="2" fillId="0" borderId="17" xfId="0" applyNumberFormat="1" applyFont="1" applyBorder="1"/>
    <xf numFmtId="180" fontId="2" fillId="0" borderId="23" xfId="0" applyNumberFormat="1" applyFont="1" applyBorder="1"/>
    <xf numFmtId="176" fontId="3" fillId="0" borderId="0" xfId="0" applyNumberFormat="1" applyFont="1" applyBorder="1"/>
    <xf numFmtId="0" fontId="3" fillId="0" borderId="0" xfId="0" applyFont="1" applyBorder="1"/>
    <xf numFmtId="0" fontId="2" fillId="10" borderId="11" xfId="0" applyFont="1" applyFill="1" applyBorder="1" applyAlignment="1">
      <alignment horizontal="center"/>
    </xf>
    <xf numFmtId="0" fontId="2" fillId="10" borderId="13" xfId="0" applyFont="1" applyFill="1" applyBorder="1" applyAlignment="1">
      <alignment horizontal="center"/>
    </xf>
    <xf numFmtId="0" fontId="2" fillId="10" borderId="0" xfId="0" applyFont="1" applyFill="1" applyAlignment="1">
      <alignment horizontal="center"/>
    </xf>
    <xf numFmtId="0" fontId="0" fillId="10" borderId="6" xfId="0" applyFill="1" applyBorder="1"/>
    <xf numFmtId="0" fontId="0" fillId="10" borderId="0" xfId="0" applyFill="1"/>
    <xf numFmtId="0" fontId="0" fillId="10" borderId="3" xfId="0" applyFill="1" applyBorder="1"/>
    <xf numFmtId="0" fontId="0" fillId="10" borderId="4" xfId="0" applyFill="1" applyBorder="1"/>
    <xf numFmtId="0" fontId="0" fillId="10" borderId="8" xfId="0" applyFill="1" applyBorder="1"/>
    <xf numFmtId="0" fontId="0" fillId="10" borderId="2" xfId="0" applyFill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0" xfId="0" applyFont="1" applyAlignment="1">
      <alignment horizontal="right" vertical="center" textRotation="90" wrapText="1"/>
    </xf>
    <xf numFmtId="0" fontId="2" fillId="0" borderId="0" xfId="0" applyFont="1" applyBorder="1" applyAlignment="1">
      <alignment horizontal="right" vertical="center" textRotation="90" wrapText="1"/>
    </xf>
    <xf numFmtId="0" fontId="2" fillId="0" borderId="0" xfId="0" applyFont="1" applyBorder="1" applyAlignment="1">
      <alignment horizontal="right" vertical="center" textRotation="90"/>
    </xf>
    <xf numFmtId="0" fontId="0" fillId="5" borderId="6" xfId="0" applyFill="1" applyBorder="1" applyAlignment="1">
      <alignment horizontal="left" vertical="center"/>
    </xf>
    <xf numFmtId="0" fontId="0" fillId="5" borderId="0" xfId="0" applyFill="1" applyAlignment="1">
      <alignment horizontal="left" vertical="center"/>
    </xf>
    <xf numFmtId="179" fontId="0" fillId="5" borderId="7" xfId="0" applyNumberFormat="1" applyFill="1" applyBorder="1" applyAlignment="1">
      <alignment horizontal="right" vertical="center"/>
    </xf>
    <xf numFmtId="0" fontId="9" fillId="0" borderId="0" xfId="0" applyFont="1" applyBorder="1"/>
    <xf numFmtId="171" fontId="9" fillId="0" borderId="0" xfId="0" applyNumberFormat="1" applyFont="1" applyBorder="1"/>
    <xf numFmtId="178" fontId="9" fillId="0" borderId="0" xfId="0" applyNumberFormat="1" applyFont="1" applyBorder="1"/>
    <xf numFmtId="172" fontId="2" fillId="0" borderId="0" xfId="0" applyNumberFormat="1" applyFont="1" applyBorder="1"/>
    <xf numFmtId="172" fontId="0" fillId="10" borderId="7" xfId="0" applyNumberFormat="1" applyFill="1" applyBorder="1"/>
    <xf numFmtId="189" fontId="0" fillId="10" borderId="9" xfId="1" applyNumberFormat="1" applyFont="1" applyFill="1" applyBorder="1"/>
    <xf numFmtId="186" fontId="2" fillId="0" borderId="9" xfId="0" applyNumberFormat="1" applyFont="1" applyBorder="1"/>
  </cellXfs>
  <cellStyles count="5">
    <cellStyle name="Comma" xfId="4" builtinId="3"/>
    <cellStyle name="Currency" xfId="2" builtinId="4"/>
    <cellStyle name="Normal" xfId="0" builtinId="0"/>
    <cellStyle name="Normal 2" xfId="3" xr:uid="{C5BA8043-D335-44CE-9A79-D73625399B70}"/>
    <cellStyle name="Percent" xfId="1" builtinId="5"/>
  </cellStyles>
  <dxfs count="0"/>
  <tableStyles count="0" defaultTableStyle="TableStyleMedium2" defaultPivotStyle="PivotStyleLight16"/>
  <colors>
    <mruColors>
      <color rgb="FF0000FF"/>
      <color rgb="FF33CC33"/>
      <color rgb="FF0F206C"/>
      <color rgb="FF002985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15461</xdr:colOff>
      <xdr:row>8</xdr:row>
      <xdr:rowOff>70817</xdr:rowOff>
    </xdr:from>
    <xdr:to>
      <xdr:col>13</xdr:col>
      <xdr:colOff>472695</xdr:colOff>
      <xdr:row>17</xdr:row>
      <xdr:rowOff>146741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AA969D-CAA7-2D0D-5F02-6631202E6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2261" y="1594817"/>
          <a:ext cx="2895634" cy="1790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3EC0-CF14-4094-8728-D6309736A8D2}">
  <dimension ref="J9:O26"/>
  <sheetViews>
    <sheetView showGridLines="0" tabSelected="1" zoomScaleNormal="100" workbookViewId="0">
      <selection activeCell="R26" sqref="R26"/>
    </sheetView>
  </sheetViews>
  <sheetFormatPr defaultColWidth="8.5703125" defaultRowHeight="15" x14ac:dyDescent="0.25"/>
  <cols>
    <col min="1" max="7" width="8.5703125" style="65"/>
    <col min="8" max="8" width="4.5703125" style="65" customWidth="1"/>
    <col min="9" max="11" width="8.5703125" style="65"/>
    <col min="12" max="12" width="10.28515625" style="65" customWidth="1"/>
    <col min="13" max="13" width="9.140625" style="65" bestFit="1" customWidth="1"/>
    <col min="14" max="16384" width="8.5703125" style="65"/>
  </cols>
  <sheetData>
    <row r="9" spans="10:14" x14ac:dyDescent="0.25">
      <c r="J9" s="87"/>
      <c r="K9" s="88"/>
      <c r="L9" s="88"/>
      <c r="M9" s="88"/>
      <c r="N9" s="89"/>
    </row>
    <row r="10" spans="10:14" x14ac:dyDescent="0.25">
      <c r="J10" s="90"/>
      <c r="N10" s="91"/>
    </row>
    <row r="11" spans="10:14" x14ac:dyDescent="0.25">
      <c r="J11" s="90"/>
      <c r="N11" s="91"/>
    </row>
    <row r="12" spans="10:14" x14ac:dyDescent="0.25">
      <c r="J12" s="90"/>
      <c r="N12" s="91"/>
    </row>
    <row r="13" spans="10:14" x14ac:dyDescent="0.25">
      <c r="J13" s="90"/>
      <c r="N13" s="91"/>
    </row>
    <row r="14" spans="10:14" x14ac:dyDescent="0.25">
      <c r="J14" s="90"/>
      <c r="N14" s="91"/>
    </row>
    <row r="15" spans="10:14" x14ac:dyDescent="0.25">
      <c r="J15" s="90"/>
      <c r="N15" s="91"/>
    </row>
    <row r="16" spans="10:14" x14ac:dyDescent="0.25">
      <c r="J16" s="90"/>
      <c r="N16" s="91"/>
    </row>
    <row r="17" spans="10:15" x14ac:dyDescent="0.25">
      <c r="J17" s="90"/>
      <c r="N17" s="91"/>
    </row>
    <row r="18" spans="10:15" x14ac:dyDescent="0.25">
      <c r="J18" s="92"/>
      <c r="K18" s="93"/>
      <c r="L18" s="93"/>
      <c r="M18" s="93"/>
      <c r="N18" s="94"/>
    </row>
    <row r="19" spans="10:15" x14ac:dyDescent="0.25">
      <c r="O19" s="66" t="s">
        <v>143</v>
      </c>
    </row>
    <row r="20" spans="10:15" x14ac:dyDescent="0.25">
      <c r="K20" s="454" t="s">
        <v>142</v>
      </c>
      <c r="L20" s="455"/>
      <c r="M20" s="95" t="s">
        <v>143</v>
      </c>
      <c r="O20" s="66" t="s">
        <v>144</v>
      </c>
    </row>
    <row r="21" spans="10:15" x14ac:dyDescent="0.25">
      <c r="O21" s="66" t="s">
        <v>145</v>
      </c>
    </row>
    <row r="22" spans="10:15" x14ac:dyDescent="0.25">
      <c r="K22" s="459" t="s">
        <v>282</v>
      </c>
      <c r="L22" s="460"/>
      <c r="M22" s="423">
        <v>37.06</v>
      </c>
      <c r="N22" s="65" t="s">
        <v>473</v>
      </c>
      <c r="O22" s="66"/>
    </row>
    <row r="23" spans="10:15" x14ac:dyDescent="0.25">
      <c r="K23" s="457" t="s">
        <v>232</v>
      </c>
      <c r="L23" s="458"/>
      <c r="M23" s="475">
        <f ca="1">+DCF!O57</f>
        <v>45.521009321940795</v>
      </c>
      <c r="O23" s="66"/>
    </row>
    <row r="24" spans="10:15" x14ac:dyDescent="0.25">
      <c r="K24" s="461" t="s">
        <v>294</v>
      </c>
      <c r="L24" s="462"/>
      <c r="M24" s="476">
        <f ca="1">+M23/M22-1</f>
        <v>0.22830570215706403</v>
      </c>
      <c r="O24" s="66"/>
    </row>
    <row r="25" spans="10:15" x14ac:dyDescent="0.25">
      <c r="O25" s="66"/>
    </row>
    <row r="26" spans="10:15" x14ac:dyDescent="0.25">
      <c r="J26" s="456" t="s">
        <v>152</v>
      </c>
      <c r="K26" s="456"/>
      <c r="L26" s="456"/>
      <c r="M26" s="456"/>
      <c r="N26" s="456"/>
    </row>
  </sheetData>
  <mergeCells count="5">
    <mergeCell ref="K20:L20"/>
    <mergeCell ref="J26:N26"/>
    <mergeCell ref="K23:L23"/>
    <mergeCell ref="K22:L22"/>
    <mergeCell ref="K24:L24"/>
  </mergeCells>
  <dataValidations count="1">
    <dataValidation type="list" allowBlank="1" showInputMessage="1" showErrorMessage="1" sqref="M20" xr:uid="{D478452E-4EA4-4C8A-95D1-8F6B30508794}">
      <formula1>$O$19:$O$21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75F9-EBAD-462D-84AB-98BB5FEB54D7}">
  <dimension ref="A1:Q109"/>
  <sheetViews>
    <sheetView showGridLines="0" topLeftCell="A44" workbookViewId="0">
      <selection activeCell="F80" sqref="F80"/>
    </sheetView>
  </sheetViews>
  <sheetFormatPr defaultColWidth="8.85546875" defaultRowHeight="15" x14ac:dyDescent="0.25"/>
  <cols>
    <col min="1" max="1" width="2.5703125" customWidth="1"/>
    <col min="2" max="2" width="30.5703125" customWidth="1"/>
    <col min="3" max="3" width="10.140625" bestFit="1" customWidth="1"/>
    <col min="9" max="9" width="9.42578125" bestFit="1" customWidth="1"/>
  </cols>
  <sheetData>
    <row r="1" spans="1:11" ht="2.1" customHeight="1" x14ac:dyDescent="0.25"/>
    <row r="2" spans="1:11" x14ac:dyDescent="0.25">
      <c r="A2" t="s">
        <v>108</v>
      </c>
      <c r="B2" t="s">
        <v>302</v>
      </c>
    </row>
    <row r="3" spans="1:11" x14ac:dyDescent="0.25">
      <c r="C3" s="97" t="s">
        <v>216</v>
      </c>
      <c r="D3" s="161"/>
      <c r="E3" s="97" t="s">
        <v>216</v>
      </c>
      <c r="F3" s="97"/>
      <c r="G3" s="97"/>
      <c r="H3" s="97"/>
      <c r="I3" s="97"/>
      <c r="J3" s="97"/>
    </row>
    <row r="4" spans="1:11" x14ac:dyDescent="0.25">
      <c r="B4" s="3"/>
      <c r="C4" s="6">
        <v>2022</v>
      </c>
      <c r="D4" s="149">
        <f t="shared" ref="D4:H4" si="0">+C4+1</f>
        <v>2023</v>
      </c>
      <c r="E4" s="6">
        <f t="shared" si="0"/>
        <v>2024</v>
      </c>
      <c r="F4" s="6">
        <f t="shared" si="0"/>
        <v>2025</v>
      </c>
      <c r="G4" s="6">
        <f t="shared" si="0"/>
        <v>2026</v>
      </c>
      <c r="H4" s="6">
        <f t="shared" si="0"/>
        <v>2027</v>
      </c>
      <c r="I4" s="6">
        <f>+H4+1</f>
        <v>2028</v>
      </c>
      <c r="J4" s="6">
        <f>+I4+1</f>
        <v>2029</v>
      </c>
      <c r="K4" s="4"/>
    </row>
    <row r="5" spans="1:11" ht="2.1" customHeight="1" x14ac:dyDescent="0.25">
      <c r="D5" s="148"/>
    </row>
    <row r="6" spans="1:11" x14ac:dyDescent="0.25">
      <c r="B6" s="5" t="s">
        <v>11</v>
      </c>
      <c r="C6" s="164">
        <f>+'Op Model'!G5</f>
        <v>1236.0999999999999</v>
      </c>
      <c r="D6" s="166">
        <f>+'Op Model'!H5</f>
        <v>1443.5</v>
      </c>
      <c r="E6" s="164">
        <f ca="1">+'Op Model'!I5</f>
        <v>1703.6443801926569</v>
      </c>
      <c r="F6" s="164">
        <f ca="1">+'Op Model'!J5</f>
        <v>1983.8996080608158</v>
      </c>
      <c r="G6" s="164">
        <f ca="1">+'Op Model'!K5</f>
        <v>2299.6531417892165</v>
      </c>
      <c r="H6" s="164">
        <f ca="1">+'Op Model'!L5</f>
        <v>2660.0794997760972</v>
      </c>
      <c r="I6" s="164">
        <f ca="1">+'Op Model'!M5</f>
        <v>3027.5990311956452</v>
      </c>
      <c r="J6" s="164">
        <f ca="1">+'Op Model'!N5</f>
        <v>3408.1798338278568</v>
      </c>
    </row>
    <row r="7" spans="1:11" x14ac:dyDescent="0.25">
      <c r="B7" s="7" t="s">
        <v>102</v>
      </c>
      <c r="C7" s="15"/>
      <c r="D7" s="153">
        <f t="shared" ref="D7:J7" si="1">+D6/C6-1</f>
        <v>0.16778577784968873</v>
      </c>
      <c r="E7" s="154">
        <f t="shared" ca="1" si="1"/>
        <v>0.1802177902269877</v>
      </c>
      <c r="F7" s="154">
        <f t="shared" ca="1" si="1"/>
        <v>0.16450336180868108</v>
      </c>
      <c r="G7" s="154">
        <f t="shared" ca="1" si="1"/>
        <v>0.15915802011626856</v>
      </c>
      <c r="H7" s="154">
        <f t="shared" ca="1" si="1"/>
        <v>0.15673074840602075</v>
      </c>
      <c r="I7" s="154">
        <f t="shared" ca="1" si="1"/>
        <v>0.13816110813623528</v>
      </c>
      <c r="J7" s="154">
        <f t="shared" ca="1" si="1"/>
        <v>0.12570383287575382</v>
      </c>
    </row>
    <row r="8" spans="1:11" x14ac:dyDescent="0.25">
      <c r="D8" s="148"/>
    </row>
    <row r="9" spans="1:11" x14ac:dyDescent="0.25">
      <c r="B9" s="20" t="s">
        <v>206</v>
      </c>
      <c r="C9" s="3"/>
      <c r="D9" s="155"/>
      <c r="E9" s="3"/>
      <c r="F9" s="3"/>
      <c r="G9" s="3"/>
      <c r="H9" s="3"/>
      <c r="I9" s="3"/>
      <c r="J9" s="3"/>
    </row>
    <row r="10" spans="1:11" ht="2.1" customHeight="1" x14ac:dyDescent="0.25">
      <c r="D10" s="148"/>
    </row>
    <row r="11" spans="1:11" x14ac:dyDescent="0.25">
      <c r="B11" t="s">
        <v>186</v>
      </c>
      <c r="C11" s="164">
        <f>+'Op Model'!G8</f>
        <v>759.7</v>
      </c>
      <c r="D11" s="166">
        <f>+'Op Model'!H8</f>
        <v>899</v>
      </c>
      <c r="E11" s="164">
        <f ca="1">+'Op Model'!I8</f>
        <v>1056.2595157194473</v>
      </c>
      <c r="F11" s="164">
        <f ca="1">+'Op Model'!J8</f>
        <v>1230.0177569977059</v>
      </c>
      <c r="G11" s="164">
        <f ca="1">+'Op Model'!K8</f>
        <v>1425.7849479093143</v>
      </c>
      <c r="H11" s="164">
        <f ca="1">+'Op Model'!L8</f>
        <v>1649.2492898611804</v>
      </c>
      <c r="I11" s="164">
        <f ca="1">+'Op Model'!M8</f>
        <v>1877.1113993413001</v>
      </c>
      <c r="J11" s="164">
        <f ca="1">+'Op Model'!N8</f>
        <v>2113.0714969732712</v>
      </c>
    </row>
    <row r="12" spans="1:11" x14ac:dyDescent="0.25">
      <c r="B12" t="s">
        <v>194</v>
      </c>
      <c r="C12" s="150">
        <f t="shared" ref="C12:J12" si="2">+C6-C11</f>
        <v>476.39999999999986</v>
      </c>
      <c r="D12" s="156">
        <f t="shared" si="2"/>
        <v>544.5</v>
      </c>
      <c r="E12" s="150">
        <f t="shared" ca="1" si="2"/>
        <v>647.38486447320952</v>
      </c>
      <c r="F12" s="150">
        <f t="shared" ca="1" si="2"/>
        <v>753.88185106310993</v>
      </c>
      <c r="G12" s="150">
        <f t="shared" ca="1" si="2"/>
        <v>873.86819387990226</v>
      </c>
      <c r="H12" s="150">
        <f t="shared" ca="1" si="2"/>
        <v>1010.8302099149168</v>
      </c>
      <c r="I12" s="150">
        <f t="shared" ca="1" si="2"/>
        <v>1150.4876318543452</v>
      </c>
      <c r="J12" s="150">
        <f t="shared" ca="1" si="2"/>
        <v>1295.1083368545856</v>
      </c>
    </row>
    <row r="13" spans="1:11" x14ac:dyDescent="0.25">
      <c r="B13" s="7" t="s">
        <v>204</v>
      </c>
      <c r="C13" s="8">
        <f t="shared" ref="C13:J13" si="3">+C12/C6</f>
        <v>0.38540571151201353</v>
      </c>
      <c r="D13" s="153">
        <f t="shared" si="3"/>
        <v>0.37720817457568412</v>
      </c>
      <c r="E13" s="8">
        <f t="shared" ca="1" si="3"/>
        <v>0.37999999999999995</v>
      </c>
      <c r="F13" s="8">
        <f t="shared" ca="1" si="3"/>
        <v>0.37999999999999995</v>
      </c>
      <c r="G13" s="8">
        <f t="shared" ca="1" si="3"/>
        <v>0.38</v>
      </c>
      <c r="H13" s="8">
        <f t="shared" ca="1" si="3"/>
        <v>0.37999999999999995</v>
      </c>
      <c r="I13" s="8">
        <f t="shared" ca="1" si="3"/>
        <v>0.38</v>
      </c>
      <c r="J13" s="8">
        <f t="shared" ca="1" si="3"/>
        <v>0.38</v>
      </c>
    </row>
    <row r="14" spans="1:11" ht="2.1" customHeight="1" x14ac:dyDescent="0.25">
      <c r="B14" s="7"/>
      <c r="C14" s="8"/>
      <c r="D14" s="153"/>
      <c r="E14" s="8"/>
      <c r="F14" s="8"/>
      <c r="G14" s="8"/>
      <c r="H14" s="8"/>
      <c r="I14" s="8"/>
      <c r="J14" s="8"/>
    </row>
    <row r="15" spans="1:11" x14ac:dyDescent="0.25">
      <c r="B15" t="s">
        <v>195</v>
      </c>
      <c r="C15" s="168">
        <f>+'Op Model'!G14</f>
        <v>251.6</v>
      </c>
      <c r="D15" s="169">
        <f>+'Op Model'!H14</f>
        <v>236.9</v>
      </c>
      <c r="E15" s="168">
        <f ca="1">+'Op Model'!I14</f>
        <v>289.61954463275168</v>
      </c>
      <c r="F15" s="168">
        <f ca="1">+'Op Model'!J14</f>
        <v>337.26293337033871</v>
      </c>
      <c r="G15" s="168">
        <f ca="1">+'Op Model'!K14</f>
        <v>390.94103410416682</v>
      </c>
      <c r="H15" s="168">
        <f ca="1">+'Op Model'!L14</f>
        <v>452.21351496193654</v>
      </c>
      <c r="I15" s="168">
        <f ca="1">+'Op Model'!M14</f>
        <v>514.69183530325972</v>
      </c>
      <c r="J15" s="168">
        <f ca="1">+'Op Model'!N14</f>
        <v>579.39057175073572</v>
      </c>
    </row>
    <row r="16" spans="1:11" x14ac:dyDescent="0.25">
      <c r="B16" t="s">
        <v>469</v>
      </c>
      <c r="C16" s="168">
        <f>+'Op Model'!G15</f>
        <v>11.4</v>
      </c>
      <c r="D16" s="169">
        <f>+'Op Model'!H15</f>
        <v>32.799999999999997</v>
      </c>
      <c r="E16" s="168">
        <f ca="1">+'Op Model'!I15</f>
        <v>8.5182219009632849</v>
      </c>
      <c r="F16" s="168">
        <f ca="1">+'Op Model'!J15</f>
        <v>9.9194980403040791</v>
      </c>
      <c r="G16" s="168">
        <f ca="1">+'Op Model'!K15</f>
        <v>11.498265708946082</v>
      </c>
      <c r="H16" s="168">
        <f ca="1">+'Op Model'!L15</f>
        <v>13.300397498880486</v>
      </c>
      <c r="I16" s="168">
        <f ca="1">+'Op Model'!M15</f>
        <v>15.137995155978226</v>
      </c>
      <c r="J16" s="168">
        <f ca="1">+'Op Model'!N15</f>
        <v>17.040899169139283</v>
      </c>
    </row>
    <row r="17" spans="2:10" ht="2.1" customHeight="1" x14ac:dyDescent="0.25">
      <c r="D17" s="148"/>
    </row>
    <row r="18" spans="2:10" x14ac:dyDescent="0.25">
      <c r="B18" s="157" t="s">
        <v>207</v>
      </c>
      <c r="C18" s="450">
        <f>+C12-C15-C16</f>
        <v>213.39999999999986</v>
      </c>
      <c r="D18" s="451">
        <f t="shared" ref="D18:J18" si="4">+D12-D15-D16</f>
        <v>274.8</v>
      </c>
      <c r="E18" s="158">
        <f t="shared" ca="1" si="4"/>
        <v>349.24709793949455</v>
      </c>
      <c r="F18" s="158">
        <f t="shared" ca="1" si="4"/>
        <v>406.69941965246716</v>
      </c>
      <c r="G18" s="158">
        <f t="shared" ca="1" si="4"/>
        <v>471.42889406678938</v>
      </c>
      <c r="H18" s="158">
        <f t="shared" ca="1" si="4"/>
        <v>545.31629745409987</v>
      </c>
      <c r="I18" s="158">
        <f t="shared" ca="1" si="4"/>
        <v>620.65780139510719</v>
      </c>
      <c r="J18" s="158">
        <f t="shared" ca="1" si="4"/>
        <v>698.67686593471058</v>
      </c>
    </row>
    <row r="19" spans="2:10" x14ac:dyDescent="0.25">
      <c r="B19" s="7" t="s">
        <v>205</v>
      </c>
      <c r="C19" s="255">
        <f t="shared" ref="C19:J19" si="5">+C18/C6</f>
        <v>0.17263975406520499</v>
      </c>
      <c r="D19" s="256">
        <f t="shared" si="5"/>
        <v>0.19037062694838933</v>
      </c>
      <c r="E19" s="255">
        <f t="shared" ca="1" si="5"/>
        <v>0.20499999999999993</v>
      </c>
      <c r="F19" s="255">
        <f t="shared" ca="1" si="5"/>
        <v>0.20499999999999996</v>
      </c>
      <c r="G19" s="255">
        <f t="shared" ca="1" si="5"/>
        <v>0.20499999999999999</v>
      </c>
      <c r="H19" s="255">
        <f t="shared" ca="1" si="5"/>
        <v>0.20499999999999999</v>
      </c>
      <c r="I19" s="255">
        <f t="shared" ca="1" si="5"/>
        <v>0.20499999999999996</v>
      </c>
      <c r="J19" s="255">
        <f t="shared" ca="1" si="5"/>
        <v>0.20499999999999999</v>
      </c>
    </row>
    <row r="20" spans="2:10" x14ac:dyDescent="0.25">
      <c r="B20" t="s">
        <v>32</v>
      </c>
      <c r="C20" s="168">
        <f>+'Op Model'!G21</f>
        <v>34.700000000000003</v>
      </c>
      <c r="D20" s="169">
        <f>+'Op Model'!H21</f>
        <v>37.1</v>
      </c>
      <c r="E20" s="168">
        <f ca="1">+'Op Model'!I21</f>
        <v>51.109331405779706</v>
      </c>
      <c r="F20" s="168">
        <f ca="1">+'Op Model'!J21</f>
        <v>59.516988241824471</v>
      </c>
      <c r="G20" s="168">
        <f ca="1">+'Op Model'!K21</f>
        <v>68.989594253676501</v>
      </c>
      <c r="H20" s="168">
        <f ca="1">+'Op Model'!L21</f>
        <v>79.802384993282914</v>
      </c>
      <c r="I20" s="168">
        <f ca="1">+'Op Model'!M21</f>
        <v>90.827970935869359</v>
      </c>
      <c r="J20" s="168">
        <f ca="1">+'Op Model'!N21</f>
        <v>102.24539501483569</v>
      </c>
    </row>
    <row r="21" spans="2:10" ht="2.1" customHeight="1" x14ac:dyDescent="0.25">
      <c r="B21" s="108"/>
      <c r="C21" s="108"/>
      <c r="D21" s="159"/>
      <c r="E21" s="108"/>
      <c r="F21" s="108"/>
      <c r="G21" s="108"/>
      <c r="H21" s="108"/>
      <c r="I21" s="108"/>
      <c r="J21" s="108"/>
    </row>
    <row r="22" spans="2:10" x14ac:dyDescent="0.25">
      <c r="B22" s="5" t="s">
        <v>197</v>
      </c>
      <c r="C22" s="151">
        <f>+C18-C20</f>
        <v>178.69999999999987</v>
      </c>
      <c r="D22" s="152">
        <f t="shared" ref="D22:J22" si="6">+D18-D20</f>
        <v>237.70000000000002</v>
      </c>
      <c r="E22" s="151">
        <f t="shared" ca="1" si="6"/>
        <v>298.13776653371485</v>
      </c>
      <c r="F22" s="151">
        <f t="shared" ca="1" si="6"/>
        <v>347.18243141064266</v>
      </c>
      <c r="G22" s="151">
        <f t="shared" ca="1" si="6"/>
        <v>402.43929981311288</v>
      </c>
      <c r="H22" s="151">
        <f t="shared" ca="1" si="6"/>
        <v>465.51391246081698</v>
      </c>
      <c r="I22" s="151">
        <f t="shared" ca="1" si="6"/>
        <v>529.82983045923788</v>
      </c>
      <c r="J22" s="151">
        <f t="shared" ca="1" si="6"/>
        <v>596.43147091987487</v>
      </c>
    </row>
    <row r="23" spans="2:10" x14ac:dyDescent="0.25">
      <c r="B23" s="5"/>
      <c r="C23" s="151"/>
      <c r="D23" s="152"/>
      <c r="E23" s="151"/>
      <c r="F23" s="151"/>
      <c r="G23" s="151"/>
      <c r="H23" s="151"/>
      <c r="I23" s="151"/>
      <c r="J23" s="151"/>
    </row>
    <row r="24" spans="2:10" x14ac:dyDescent="0.25">
      <c r="B24" s="20" t="s">
        <v>53</v>
      </c>
      <c r="C24" s="20"/>
      <c r="D24" s="160"/>
      <c r="E24" s="20"/>
      <c r="F24" s="20"/>
      <c r="G24" s="20"/>
      <c r="H24" s="20"/>
      <c r="I24" s="20"/>
      <c r="J24" s="20"/>
    </row>
    <row r="25" spans="2:10" ht="2.1" customHeight="1" x14ac:dyDescent="0.25">
      <c r="D25" s="148"/>
    </row>
    <row r="26" spans="2:10" x14ac:dyDescent="0.25">
      <c r="B26" t="s">
        <v>208</v>
      </c>
      <c r="C26" s="164">
        <f>+'Op Model'!G26</f>
        <v>71.400000000000006</v>
      </c>
      <c r="D26" s="166">
        <f>+'Op Model'!H26</f>
        <v>88.8</v>
      </c>
      <c r="E26" s="164">
        <f ca="1">+'Op Model'!I26</f>
        <v>102.21866281155941</v>
      </c>
      <c r="F26" s="164">
        <f ca="1">+'Op Model'!J26</f>
        <v>119.03397648364894</v>
      </c>
      <c r="G26" s="164">
        <f ca="1">+'Op Model'!K26</f>
        <v>137.979188507353</v>
      </c>
      <c r="H26" s="164">
        <f ca="1">+'Op Model'!L26</f>
        <v>159.60476998656583</v>
      </c>
      <c r="I26" s="164">
        <f ca="1">+'Op Model'!M26</f>
        <v>181.65594187173872</v>
      </c>
      <c r="J26" s="164">
        <f ca="1">+'Op Model'!N26</f>
        <v>204.49079002967139</v>
      </c>
    </row>
    <row r="27" spans="2:10" x14ac:dyDescent="0.25">
      <c r="B27" s="5" t="s">
        <v>209</v>
      </c>
      <c r="C27" s="151">
        <f t="shared" ref="C27:J27" si="7">+C22+C26</f>
        <v>250.09999999999988</v>
      </c>
      <c r="D27" s="152">
        <f t="shared" si="7"/>
        <v>326.5</v>
      </c>
      <c r="E27" s="151">
        <f t="shared" ca="1" si="7"/>
        <v>400.35642934527425</v>
      </c>
      <c r="F27" s="151">
        <f t="shared" ca="1" si="7"/>
        <v>466.21640789429159</v>
      </c>
      <c r="G27" s="151">
        <f t="shared" ca="1" si="7"/>
        <v>540.41848832046594</v>
      </c>
      <c r="H27" s="151">
        <f t="shared" ca="1" si="7"/>
        <v>625.11868244738275</v>
      </c>
      <c r="I27" s="151">
        <f t="shared" ca="1" si="7"/>
        <v>711.4857723309766</v>
      </c>
      <c r="J27" s="151">
        <f t="shared" ca="1" si="7"/>
        <v>800.92226094954628</v>
      </c>
    </row>
    <row r="28" spans="2:10" x14ac:dyDescent="0.25">
      <c r="B28" t="s">
        <v>210</v>
      </c>
      <c r="C28" s="73">
        <f>-'Op Model'!G46</f>
        <v>0</v>
      </c>
      <c r="D28" s="167">
        <f>-'Op Model'!H46</f>
        <v>70.400000000000034</v>
      </c>
      <c r="E28" s="73">
        <f ca="1">-'Op Model'!I46</f>
        <v>-91.124429056833179</v>
      </c>
      <c r="F28" s="73">
        <f ca="1">-'Op Model'!J46</f>
        <v>10.425494476695462</v>
      </c>
      <c r="G28" s="73">
        <f ca="1">-'Op Model'!K46</f>
        <v>11.746031454696549</v>
      </c>
      <c r="H28" s="73">
        <f ca="1">-'Op Model'!L46</f>
        <v>13.407860517111942</v>
      </c>
      <c r="I28" s="73">
        <f ca="1">-'Op Model'!M46</f>
        <v>13.671726568807173</v>
      </c>
      <c r="J28" s="73">
        <f ca="1">-'Op Model'!N46</f>
        <v>14.15760585791827</v>
      </c>
    </row>
    <row r="29" spans="2:10" x14ac:dyDescent="0.25">
      <c r="B29" t="s">
        <v>211</v>
      </c>
      <c r="C29" s="73">
        <f>-'Op Model'!G29</f>
        <v>-132</v>
      </c>
      <c r="D29" s="167">
        <f>-'Op Model'!H29</f>
        <v>-180.5</v>
      </c>
      <c r="E29" s="73">
        <f ca="1">-'Op Model'!I29</f>
        <v>-221.47376942504539</v>
      </c>
      <c r="F29" s="73">
        <f ca="1">-'Op Model'!J29</f>
        <v>-257.90694904790604</v>
      </c>
      <c r="G29" s="73">
        <f ca="1">-'Op Model'!K29</f>
        <v>-321.95143985049032</v>
      </c>
      <c r="H29" s="73">
        <f ca="1">-'Op Model'!L29</f>
        <v>-399.0119249664146</v>
      </c>
      <c r="I29" s="73">
        <f ca="1">-'Op Model'!M29</f>
        <v>-423.86386436739036</v>
      </c>
      <c r="J29" s="73">
        <f ca="1">-'Op Model'!N29</f>
        <v>-443.06337839762142</v>
      </c>
    </row>
    <row r="30" spans="2:10" ht="2.1" customHeight="1" x14ac:dyDescent="0.25">
      <c r="B30" s="108"/>
      <c r="C30" s="108"/>
      <c r="D30" s="159"/>
      <c r="E30" s="108"/>
      <c r="F30" s="108"/>
      <c r="G30" s="108"/>
      <c r="H30" s="108"/>
      <c r="I30" s="108"/>
      <c r="J30" s="108"/>
    </row>
    <row r="31" spans="2:10" x14ac:dyDescent="0.25">
      <c r="B31" s="5" t="s">
        <v>212</v>
      </c>
      <c r="C31" s="151">
        <f t="shared" ref="C31:J31" si="8">+SUM(C28:C29,C27)</f>
        <v>118.09999999999988</v>
      </c>
      <c r="D31" s="152">
        <f t="shared" si="8"/>
        <v>216.40000000000003</v>
      </c>
      <c r="E31" s="151">
        <f t="shared" ca="1" si="8"/>
        <v>87.758230863395681</v>
      </c>
      <c r="F31" s="151">
        <f t="shared" ca="1" si="8"/>
        <v>218.73495332308102</v>
      </c>
      <c r="G31" s="151">
        <f t="shared" ca="1" si="8"/>
        <v>230.21307992467217</v>
      </c>
      <c r="H31" s="151">
        <f t="shared" ca="1" si="8"/>
        <v>239.5146179980801</v>
      </c>
      <c r="I31" s="151">
        <f t="shared" ca="1" si="8"/>
        <v>301.29363453239341</v>
      </c>
      <c r="J31" s="151">
        <f t="shared" ca="1" si="8"/>
        <v>372.01648840984313</v>
      </c>
    </row>
    <row r="32" spans="2:10" x14ac:dyDescent="0.25">
      <c r="B32" s="5"/>
      <c r="C32" s="151"/>
      <c r="D32" s="197"/>
      <c r="E32" s="151"/>
      <c r="F32" s="371">
        <f ca="1">+F31/E31-1</f>
        <v>1.4924722293406698</v>
      </c>
      <c r="G32" s="371">
        <f t="shared" ref="G32:H32" ca="1" si="9">+G31/F31-1</f>
        <v>5.2475045378949758E-2</v>
      </c>
      <c r="H32" s="371">
        <f t="shared" ca="1" si="9"/>
        <v>4.0404038191276914E-2</v>
      </c>
      <c r="I32" s="371">
        <f ca="1">+I31/H31-1</f>
        <v>0.25793422151297896</v>
      </c>
      <c r="J32" s="371">
        <f ca="1">+J31/I31-1</f>
        <v>0.23473066063015668</v>
      </c>
    </row>
    <row r="34" spans="1:11" x14ac:dyDescent="0.25">
      <c r="B34" t="s">
        <v>172</v>
      </c>
      <c r="C34" s="165">
        <f ca="1">+WACC!L41</f>
        <v>8.8856897676829819E-2</v>
      </c>
      <c r="D34" s="171"/>
    </row>
    <row r="35" spans="1:11" x14ac:dyDescent="0.25">
      <c r="B35" t="s">
        <v>213</v>
      </c>
      <c r="E35" s="170">
        <v>0.75</v>
      </c>
      <c r="F35" s="170">
        <f>+E35+1</f>
        <v>1.75</v>
      </c>
      <c r="G35" s="170">
        <f t="shared" ref="G35:H35" si="10">+F35+1</f>
        <v>2.75</v>
      </c>
      <c r="H35" s="170">
        <f t="shared" si="10"/>
        <v>3.75</v>
      </c>
      <c r="I35" s="170">
        <f>+H35+1</f>
        <v>4.75</v>
      </c>
      <c r="J35" s="170">
        <f>+I35+1</f>
        <v>5.75</v>
      </c>
    </row>
    <row r="36" spans="1:11" x14ac:dyDescent="0.25">
      <c r="B36" t="s">
        <v>215</v>
      </c>
      <c r="E36" s="162">
        <f ca="1">+(1+$C$34)^(-E35)</f>
        <v>0.93814916212043242</v>
      </c>
      <c r="F36" s="162">
        <f t="shared" ref="F36:J36" ca="1" si="11">+(1+$C$34)^(-F35)</f>
        <v>0.8615908703173526</v>
      </c>
      <c r="G36" s="162">
        <f t="shared" ca="1" si="11"/>
        <v>0.79128016928177725</v>
      </c>
      <c r="H36" s="162">
        <f t="shared" ca="1" si="11"/>
        <v>0.72670722017745559</v>
      </c>
      <c r="I36" s="162">
        <f t="shared" ca="1" si="11"/>
        <v>0.66740378990843352</v>
      </c>
      <c r="J36" s="162">
        <f t="shared" ca="1" si="11"/>
        <v>0.61293985585470145</v>
      </c>
    </row>
    <row r="37" spans="1:11" x14ac:dyDescent="0.25">
      <c r="B37" s="5" t="s">
        <v>214</v>
      </c>
      <c r="E37" s="151">
        <f t="shared" ref="E37:J37" ca="1" si="12">+E31*E36</f>
        <v>82.330310753666126</v>
      </c>
      <c r="F37" s="151">
        <f t="shared" ca="1" si="12"/>
        <v>188.46003880245888</v>
      </c>
      <c r="G37" s="151">
        <f t="shared" ca="1" si="12"/>
        <v>182.16304485367391</v>
      </c>
      <c r="H37" s="151">
        <f t="shared" ca="1" si="12"/>
        <v>174.05700223724997</v>
      </c>
      <c r="I37" s="151">
        <f t="shared" ca="1" si="12"/>
        <v>201.08451356220584</v>
      </c>
      <c r="J37" s="151">
        <f t="shared" ca="1" si="12"/>
        <v>228.02373278150145</v>
      </c>
    </row>
    <row r="39" spans="1:11" x14ac:dyDescent="0.25">
      <c r="A39" t="s">
        <v>108</v>
      </c>
      <c r="B39" s="389" t="s">
        <v>286</v>
      </c>
      <c r="C39" s="390"/>
      <c r="E39" s="395" t="s">
        <v>285</v>
      </c>
      <c r="F39" s="396"/>
      <c r="G39" s="396"/>
      <c r="H39" s="396"/>
      <c r="I39" s="397"/>
    </row>
    <row r="40" spans="1:11" ht="2.1" customHeight="1" x14ac:dyDescent="0.25">
      <c r="B40" s="198"/>
      <c r="C40" s="148"/>
      <c r="E40" s="392"/>
      <c r="F40" s="108"/>
      <c r="G40" s="108"/>
      <c r="H40" s="108"/>
      <c r="I40" s="159"/>
    </row>
    <row r="41" spans="1:11" x14ac:dyDescent="0.25">
      <c r="B41" s="377" t="s">
        <v>218</v>
      </c>
      <c r="C41" s="152">
        <f ca="1">+SUM(E37:J37)</f>
        <v>1056.1186429907561</v>
      </c>
      <c r="E41" s="377" t="s">
        <v>218</v>
      </c>
      <c r="F41" s="297"/>
      <c r="G41" s="297"/>
      <c r="H41" s="297"/>
      <c r="I41" s="152">
        <f ca="1">+SUM(E37:J37)</f>
        <v>1056.1186429907561</v>
      </c>
    </row>
    <row r="42" spans="1:11" x14ac:dyDescent="0.25">
      <c r="B42" s="260" t="s">
        <v>220</v>
      </c>
      <c r="C42" s="155"/>
      <c r="E42" s="198" t="s">
        <v>220</v>
      </c>
      <c r="F42" s="297"/>
      <c r="G42" s="297"/>
      <c r="H42" s="297"/>
      <c r="I42" s="148"/>
    </row>
    <row r="43" spans="1:11" ht="2.1" customHeight="1" x14ac:dyDescent="0.25">
      <c r="B43" s="198"/>
      <c r="C43" s="148"/>
      <c r="E43" s="392"/>
      <c r="F43" s="108"/>
      <c r="G43" s="108"/>
      <c r="H43" s="108"/>
      <c r="I43" s="159"/>
    </row>
    <row r="44" spans="1:11" x14ac:dyDescent="0.25">
      <c r="B44" s="198" t="s">
        <v>221</v>
      </c>
      <c r="C44" s="401">
        <f ca="1">+J26+J18</f>
        <v>903.16765596438199</v>
      </c>
      <c r="E44" s="198" t="s">
        <v>279</v>
      </c>
      <c r="F44" s="297"/>
      <c r="G44" s="297"/>
      <c r="H44" s="297"/>
      <c r="I44" s="400">
        <f ca="1">+Assumptions!D150</f>
        <v>0.04</v>
      </c>
      <c r="K44" t="s">
        <v>336</v>
      </c>
    </row>
    <row r="45" spans="1:11" x14ac:dyDescent="0.25">
      <c r="B45" s="198" t="s">
        <v>222</v>
      </c>
      <c r="C45" s="399">
        <f ca="1">+Assumptions!D145</f>
        <v>12</v>
      </c>
      <c r="E45" s="198" t="s">
        <v>280</v>
      </c>
      <c r="F45" s="297"/>
      <c r="G45" s="297"/>
      <c r="H45" s="297"/>
      <c r="I45" s="156">
        <f ca="1">+J31*(1+J32)</f>
        <v>459.34016449959665</v>
      </c>
      <c r="K45" t="s">
        <v>334</v>
      </c>
    </row>
    <row r="46" spans="1:11" x14ac:dyDescent="0.25">
      <c r="B46" s="198" t="s">
        <v>220</v>
      </c>
      <c r="C46" s="156">
        <f ca="1">+C44*C45</f>
        <v>10838.011871572584</v>
      </c>
      <c r="E46" s="198" t="s">
        <v>220</v>
      </c>
      <c r="F46" s="297"/>
      <c r="G46" s="297"/>
      <c r="H46" s="297"/>
      <c r="I46" s="156">
        <f ca="1">+I45/(C34-I44)</f>
        <v>9401.7464542665148</v>
      </c>
      <c r="K46" t="s">
        <v>335</v>
      </c>
    </row>
    <row r="47" spans="1:11" x14ac:dyDescent="0.25">
      <c r="B47" s="392"/>
      <c r="C47" s="402"/>
      <c r="E47" s="392"/>
      <c r="F47" s="108"/>
      <c r="G47" s="108"/>
      <c r="H47" s="108"/>
      <c r="I47" s="159"/>
    </row>
    <row r="48" spans="1:11" x14ac:dyDescent="0.25">
      <c r="B48" s="377" t="s">
        <v>224</v>
      </c>
      <c r="C48" s="152">
        <f ca="1">+C46*J36</f>
        <v>6643.0494343132423</v>
      </c>
      <c r="E48" s="377" t="s">
        <v>224</v>
      </c>
      <c r="F48" s="297"/>
      <c r="G48" s="297"/>
      <c r="H48" s="297"/>
      <c r="I48" s="152">
        <f ca="1">+I46*J36</f>
        <v>5762.7051164605682</v>
      </c>
    </row>
    <row r="49" spans="1:15" x14ac:dyDescent="0.25">
      <c r="B49" s="391" t="s">
        <v>225</v>
      </c>
      <c r="C49" s="153">
        <f ca="1">+C48/C51</f>
        <v>0.86282691423453439</v>
      </c>
      <c r="E49" s="391" t="s">
        <v>225</v>
      </c>
      <c r="F49" s="297"/>
      <c r="G49" s="297"/>
      <c r="H49" s="297"/>
      <c r="I49" s="383">
        <f ca="1">+I48/I51</f>
        <v>0.84511718146008563</v>
      </c>
    </row>
    <row r="50" spans="1:15" ht="2.1" customHeight="1" x14ac:dyDescent="0.25">
      <c r="B50" s="392"/>
      <c r="C50" s="159"/>
      <c r="E50" s="398"/>
      <c r="F50" s="108"/>
      <c r="G50" s="108"/>
      <c r="H50" s="108"/>
      <c r="I50" s="159"/>
    </row>
    <row r="51" spans="1:15" x14ac:dyDescent="0.25">
      <c r="B51" s="393" t="s">
        <v>217</v>
      </c>
      <c r="C51" s="394">
        <f ca="1">+C41+C48</f>
        <v>7699.1680773039989</v>
      </c>
      <c r="E51" s="393" t="s">
        <v>217</v>
      </c>
      <c r="F51" s="3"/>
      <c r="G51" s="3"/>
      <c r="H51" s="3"/>
      <c r="I51" s="394">
        <f ca="1">+I48+I41</f>
        <v>6818.8237594513248</v>
      </c>
    </row>
    <row r="53" spans="1:15" x14ac:dyDescent="0.25">
      <c r="A53" t="s">
        <v>108</v>
      </c>
      <c r="B53" s="395" t="s">
        <v>449</v>
      </c>
      <c r="C53" s="397"/>
      <c r="E53" s="389" t="s">
        <v>448</v>
      </c>
      <c r="F53" s="404"/>
      <c r="G53" s="404"/>
      <c r="H53" s="404"/>
      <c r="I53" s="390"/>
      <c r="K53" s="389" t="s">
        <v>450</v>
      </c>
      <c r="L53" s="404"/>
      <c r="M53" s="404"/>
      <c r="N53" s="404"/>
      <c r="O53" s="390"/>
    </row>
    <row r="54" spans="1:15" ht="2.1" customHeight="1" x14ac:dyDescent="0.25">
      <c r="B54" s="392"/>
      <c r="C54" s="159"/>
      <c r="E54" s="198"/>
      <c r="F54" s="297"/>
      <c r="G54" s="297"/>
      <c r="H54" s="297"/>
      <c r="I54" s="148"/>
      <c r="K54" s="198"/>
      <c r="L54" s="297"/>
      <c r="M54" s="297"/>
      <c r="N54" s="297"/>
      <c r="O54" s="148"/>
    </row>
    <row r="55" spans="1:15" x14ac:dyDescent="0.25">
      <c r="B55" s="198" t="s">
        <v>217</v>
      </c>
      <c r="C55" s="156">
        <f ca="1">+C51</f>
        <v>7699.1680773039989</v>
      </c>
      <c r="E55" s="198" t="s">
        <v>217</v>
      </c>
      <c r="F55" s="297"/>
      <c r="G55" s="297"/>
      <c r="H55" s="297"/>
      <c r="I55" s="156">
        <f ca="1">+I51</f>
        <v>6818.8237594513248</v>
      </c>
      <c r="K55" s="391" t="s">
        <v>288</v>
      </c>
      <c r="L55" s="297"/>
      <c r="M55" s="297"/>
      <c r="N55" s="297"/>
      <c r="O55" s="383">
        <v>0.5</v>
      </c>
    </row>
    <row r="56" spans="1:15" x14ac:dyDescent="0.25">
      <c r="B56" s="405" t="s">
        <v>228</v>
      </c>
      <c r="C56" s="267">
        <v>-2073.8000000000002</v>
      </c>
      <c r="E56" s="405" t="s">
        <v>228</v>
      </c>
      <c r="F56" s="297"/>
      <c r="G56" s="297"/>
      <c r="H56" s="297"/>
      <c r="I56" s="267">
        <v>-2073.8000000000002</v>
      </c>
      <c r="K56" s="391" t="s">
        <v>289</v>
      </c>
      <c r="L56" s="297"/>
      <c r="M56" s="297"/>
      <c r="N56" s="297"/>
      <c r="O56" s="383">
        <v>0.5</v>
      </c>
    </row>
    <row r="57" spans="1:15" x14ac:dyDescent="0.25">
      <c r="B57" s="405" t="s">
        <v>229</v>
      </c>
      <c r="C57" s="424">
        <v>764.4</v>
      </c>
      <c r="E57" s="405" t="s">
        <v>229</v>
      </c>
      <c r="F57" s="3"/>
      <c r="G57" s="3"/>
      <c r="H57" s="3"/>
      <c r="I57" s="424">
        <v>764.4</v>
      </c>
      <c r="J57" t="s">
        <v>454</v>
      </c>
      <c r="K57" s="393" t="s">
        <v>450</v>
      </c>
      <c r="L57" s="3"/>
      <c r="M57" s="3"/>
      <c r="N57" s="3"/>
      <c r="O57" s="477">
        <f ca="1">+I62*O55+C62*O56</f>
        <v>45.521009321940795</v>
      </c>
    </row>
    <row r="58" spans="1:15" ht="2.1" customHeight="1" x14ac:dyDescent="0.25">
      <c r="B58" s="392"/>
      <c r="C58" s="159"/>
      <c r="E58" s="392"/>
      <c r="F58" s="297"/>
      <c r="G58" s="297"/>
      <c r="H58" s="297"/>
      <c r="I58" s="159"/>
    </row>
    <row r="59" spans="1:15" x14ac:dyDescent="0.25">
      <c r="B59" s="377" t="s">
        <v>230</v>
      </c>
      <c r="C59" s="152">
        <f ca="1">+SUM(C55:C57)</f>
        <v>6389.7680773039983</v>
      </c>
      <c r="E59" s="377" t="s">
        <v>230</v>
      </c>
      <c r="F59" s="297"/>
      <c r="G59" s="297"/>
      <c r="H59" s="297"/>
      <c r="I59" s="152">
        <f ca="1">+SUM(I55:I57)</f>
        <v>5509.4237594513243</v>
      </c>
    </row>
    <row r="60" spans="1:15" x14ac:dyDescent="0.25">
      <c r="B60" s="405" t="s">
        <v>231</v>
      </c>
      <c r="C60" s="406">
        <v>130.69999999999999</v>
      </c>
      <c r="E60" s="405" t="s">
        <v>231</v>
      </c>
      <c r="F60" s="3"/>
      <c r="G60" s="3"/>
      <c r="H60" s="3"/>
      <c r="I60" s="406">
        <v>130.69999999999999</v>
      </c>
      <c r="J60" t="s">
        <v>233</v>
      </c>
    </row>
    <row r="61" spans="1:15" ht="2.1" customHeight="1" x14ac:dyDescent="0.25">
      <c r="B61" s="392"/>
      <c r="C61" s="159"/>
      <c r="E61" s="392"/>
      <c r="F61" s="297"/>
      <c r="G61" s="297"/>
      <c r="H61" s="297"/>
      <c r="I61" s="159"/>
    </row>
    <row r="62" spans="1:15" x14ac:dyDescent="0.25">
      <c r="B62" s="393" t="s">
        <v>232</v>
      </c>
      <c r="C62" s="394">
        <f ca="1">+C59/C60</f>
        <v>48.888814669502672</v>
      </c>
      <c r="E62" s="393" t="s">
        <v>232</v>
      </c>
      <c r="F62" s="3"/>
      <c r="G62" s="3"/>
      <c r="H62" s="3"/>
      <c r="I62" s="394">
        <f ca="1">+I59/I60</f>
        <v>42.153203974378918</v>
      </c>
    </row>
    <row r="63" spans="1:15" x14ac:dyDescent="0.25">
      <c r="E63" s="23"/>
    </row>
    <row r="64" spans="1:15" x14ac:dyDescent="0.25">
      <c r="A64" t="s">
        <v>108</v>
      </c>
      <c r="B64" s="3" t="s">
        <v>234</v>
      </c>
      <c r="C64" s="3"/>
      <c r="D64" s="3"/>
      <c r="E64" s="3"/>
      <c r="F64" s="3"/>
      <c r="G64" s="3"/>
      <c r="H64" s="3"/>
      <c r="I64" s="3"/>
    </row>
    <row r="65" spans="2:17" ht="2.1" customHeight="1" x14ac:dyDescent="0.25">
      <c r="J65" s="182"/>
      <c r="K65" s="182"/>
      <c r="L65" s="182"/>
      <c r="M65" s="182"/>
      <c r="N65" s="182"/>
      <c r="O65" s="182"/>
      <c r="P65" s="182"/>
      <c r="Q65" s="182"/>
    </row>
    <row r="66" spans="2:17" x14ac:dyDescent="0.25">
      <c r="B66" t="s">
        <v>235</v>
      </c>
      <c r="K66" t="s">
        <v>293</v>
      </c>
    </row>
    <row r="67" spans="2:17" x14ac:dyDescent="0.25">
      <c r="C67" s="103" t="s">
        <v>172</v>
      </c>
      <c r="D67" s="104"/>
      <c r="E67" s="104"/>
      <c r="F67" s="104"/>
      <c r="G67" s="104"/>
      <c r="H67" s="104"/>
      <c r="L67" s="103" t="s">
        <v>292</v>
      </c>
      <c r="M67" s="103"/>
      <c r="N67" s="103"/>
      <c r="O67" s="103"/>
      <c r="P67" s="103"/>
      <c r="Q67" s="103"/>
    </row>
    <row r="68" spans="2:17" x14ac:dyDescent="0.25">
      <c r="B68" s="465" t="s">
        <v>222</v>
      </c>
      <c r="C68" s="335">
        <f ca="1">+$O$57</f>
        <v>45.521009321940795</v>
      </c>
      <c r="D68" s="336">
        <f>+E68-0.01</f>
        <v>6.8857398944384807E-2</v>
      </c>
      <c r="E68" s="336">
        <f>+F68-0.01</f>
        <v>7.8857398944384802E-2</v>
      </c>
      <c r="F68" s="336">
        <v>8.8857398944384797E-2</v>
      </c>
      <c r="G68" s="336">
        <f>+F68+0.01</f>
        <v>9.8857398944384792E-2</v>
      </c>
      <c r="H68" s="336">
        <f>+G68+0.01</f>
        <v>0.10885739894438479</v>
      </c>
      <c r="I68" s="297"/>
      <c r="K68" s="467" t="s">
        <v>222</v>
      </c>
      <c r="L68" s="335">
        <f ca="1">+$O$57</f>
        <v>45.521009321940795</v>
      </c>
      <c r="M68" s="337">
        <f>+N68-0.005</f>
        <v>3.0000000000000002E-2</v>
      </c>
      <c r="N68" s="337">
        <f>+O68-0.005</f>
        <v>3.5000000000000003E-2</v>
      </c>
      <c r="O68" s="337">
        <v>0.04</v>
      </c>
      <c r="P68" s="337">
        <f>+O68+0.005</f>
        <v>4.4999999999999998E-2</v>
      </c>
      <c r="Q68" s="337">
        <f>+P68+0.005</f>
        <v>4.9999999999999996E-2</v>
      </c>
    </row>
    <row r="69" spans="2:17" x14ac:dyDescent="0.25">
      <c r="B69" s="465"/>
      <c r="C69" s="339">
        <f>+C70-2</f>
        <v>8</v>
      </c>
      <c r="D69" s="201">
        <f t="dataTable" ref="D69:H73" dt2D="1" dtr="1" r1="C34" r2="C45" ca="1"/>
        <v>58.995514975532515</v>
      </c>
      <c r="E69" s="202">
        <v>45.430751704543347</v>
      </c>
      <c r="F69" s="202">
        <v>37.049550170222702</v>
      </c>
      <c r="G69" s="202">
        <v>31.237919427993841</v>
      </c>
      <c r="H69" s="338">
        <v>26.898157575192041</v>
      </c>
      <c r="I69" s="297"/>
      <c r="K69" s="467"/>
      <c r="L69" s="339">
        <f>+L70-2</f>
        <v>8</v>
      </c>
      <c r="M69" s="201">
        <f t="dataTable" ref="M69:Q73" dt2D="1" dtr="1" r1="I44" r2="C45" ca="1"/>
        <v>33.30427529767487</v>
      </c>
      <c r="N69" s="202">
        <v>35.003215153109608</v>
      </c>
      <c r="O69" s="202">
        <v>37.049892981322017</v>
      </c>
      <c r="P69" s="202">
        <v>39.563242630075379</v>
      </c>
      <c r="Q69" s="338">
        <v>42.723414284449646</v>
      </c>
    </row>
    <row r="70" spans="2:17" x14ac:dyDescent="0.25">
      <c r="B70" s="465"/>
      <c r="C70" s="339">
        <f>+C71-2</f>
        <v>10</v>
      </c>
      <c r="D70" s="203">
        <v>63.70750240664924</v>
      </c>
      <c r="E70" s="201">
        <v>49.897068596362971</v>
      </c>
      <c r="F70" s="202">
        <v>41.28509712869937</v>
      </c>
      <c r="G70" s="338">
        <v>35.256568677906884</v>
      </c>
      <c r="H70" s="200">
        <v>30.712832383252724</v>
      </c>
      <c r="I70" s="297"/>
      <c r="K70" s="467"/>
      <c r="L70" s="339">
        <f>+L71-2</f>
        <v>10</v>
      </c>
      <c r="M70" s="203">
        <v>37.539833467984252</v>
      </c>
      <c r="N70" s="201">
        <v>39.238773323418997</v>
      </c>
      <c r="O70" s="202">
        <v>41.285451151631406</v>
      </c>
      <c r="P70" s="338">
        <v>43.798800800384768</v>
      </c>
      <c r="Q70" s="200">
        <v>46.958972454759028</v>
      </c>
    </row>
    <row r="71" spans="2:17" x14ac:dyDescent="0.25">
      <c r="B71" s="465"/>
      <c r="C71" s="339">
        <v>12</v>
      </c>
      <c r="D71" s="203">
        <v>68.419489837765965</v>
      </c>
      <c r="E71" s="203">
        <v>54.363385488182601</v>
      </c>
      <c r="F71" s="207">
        <v>45.520644087176038</v>
      </c>
      <c r="G71" s="200">
        <v>39.275217927819924</v>
      </c>
      <c r="H71" s="200">
        <v>34.527507191313411</v>
      </c>
      <c r="I71" s="297"/>
      <c r="K71" s="467"/>
      <c r="L71" s="339">
        <v>12</v>
      </c>
      <c r="M71" s="203">
        <v>41.775391638293641</v>
      </c>
      <c r="N71" s="203">
        <v>43.474331493728386</v>
      </c>
      <c r="O71" s="207">
        <v>45.521009321940795</v>
      </c>
      <c r="P71" s="200">
        <v>48.034358970694157</v>
      </c>
      <c r="Q71" s="200">
        <v>51.194530625068417</v>
      </c>
    </row>
    <row r="72" spans="2:17" x14ac:dyDescent="0.25">
      <c r="B72" s="465"/>
      <c r="C72" s="339">
        <f>+C71+2</f>
        <v>14</v>
      </c>
      <c r="D72" s="203">
        <v>73.131477268882691</v>
      </c>
      <c r="E72" s="204">
        <v>58.829702380002232</v>
      </c>
      <c r="F72" s="205">
        <v>49.756191045652706</v>
      </c>
      <c r="G72" s="206">
        <v>43.293867177732963</v>
      </c>
      <c r="H72" s="200">
        <v>38.342181999374091</v>
      </c>
      <c r="I72" s="297"/>
      <c r="K72" s="467"/>
      <c r="L72" s="339">
        <f>+L71+2</f>
        <v>14</v>
      </c>
      <c r="M72" s="203">
        <v>46.01094980860303</v>
      </c>
      <c r="N72" s="204">
        <v>47.709889664037767</v>
      </c>
      <c r="O72" s="205">
        <v>49.756567492250184</v>
      </c>
      <c r="P72" s="206">
        <v>52.269917141003539</v>
      </c>
      <c r="Q72" s="200">
        <v>55.430088795377799</v>
      </c>
    </row>
    <row r="73" spans="2:17" x14ac:dyDescent="0.25">
      <c r="B73" s="465"/>
      <c r="C73" s="339">
        <f>+C72+2</f>
        <v>16</v>
      </c>
      <c r="D73" s="204">
        <v>77.843464699999402</v>
      </c>
      <c r="E73" s="205">
        <v>63.296019271821862</v>
      </c>
      <c r="F73" s="205">
        <v>53.991738004129388</v>
      </c>
      <c r="G73" s="205">
        <v>47.312516427646017</v>
      </c>
      <c r="H73" s="206">
        <v>42.156856807434778</v>
      </c>
      <c r="I73" s="297"/>
      <c r="K73" s="467"/>
      <c r="L73" s="339">
        <f>+L72+2</f>
        <v>16</v>
      </c>
      <c r="M73" s="204">
        <v>50.246507978912419</v>
      </c>
      <c r="N73" s="205">
        <v>51.945447834347156</v>
      </c>
      <c r="O73" s="205">
        <v>53.992125662559573</v>
      </c>
      <c r="P73" s="205">
        <v>56.505475311312928</v>
      </c>
      <c r="Q73" s="206">
        <v>59.665646965687188</v>
      </c>
    </row>
    <row r="75" spans="2:17" x14ac:dyDescent="0.25">
      <c r="B75" t="s">
        <v>291</v>
      </c>
    </row>
    <row r="76" spans="2:17" x14ac:dyDescent="0.25">
      <c r="C76" s="103" t="s">
        <v>172</v>
      </c>
      <c r="D76" s="103"/>
      <c r="E76" s="103"/>
      <c r="F76" s="103"/>
      <c r="G76" s="103"/>
      <c r="H76" s="103"/>
      <c r="L76" s="103"/>
      <c r="M76" s="104"/>
      <c r="N76" s="104"/>
      <c r="O76" s="104"/>
      <c r="P76" s="104"/>
      <c r="Q76" s="104"/>
    </row>
    <row r="77" spans="2:17" ht="14.45" customHeight="1" x14ac:dyDescent="0.25">
      <c r="B77" s="466" t="s">
        <v>292</v>
      </c>
      <c r="C77" s="335">
        <f ca="1">+$O$57</f>
        <v>45.521009321940795</v>
      </c>
      <c r="D77" s="336">
        <f>+E77-0.01</f>
        <v>6.8857398944384807E-2</v>
      </c>
      <c r="E77" s="336">
        <f>+F77-0.01</f>
        <v>7.8857398944384802E-2</v>
      </c>
      <c r="F77" s="336">
        <v>8.8857398944384797E-2</v>
      </c>
      <c r="G77" s="336">
        <f>+F77+0.01</f>
        <v>9.8857398944384792E-2</v>
      </c>
      <c r="H77" s="336">
        <f>+G77+0.01</f>
        <v>0.10885739894438479</v>
      </c>
      <c r="I77" s="297"/>
      <c r="K77" s="465"/>
      <c r="L77" s="199"/>
      <c r="M77" s="250"/>
      <c r="N77" s="250"/>
      <c r="O77" s="250"/>
      <c r="P77" s="250"/>
      <c r="Q77" s="250"/>
    </row>
    <row r="78" spans="2:17" x14ac:dyDescent="0.25">
      <c r="B78" s="466"/>
      <c r="C78" s="337">
        <f>+C79-0.005</f>
        <v>3.0000000000000002E-2</v>
      </c>
      <c r="D78" s="201">
        <f t="dataTable" ref="D78:H82" dt2D="1" dtr="1" r1="C34" r2="I44" ca="1"/>
        <v>57.733635171755182</v>
      </c>
      <c r="E78" s="202">
        <v>48.38090191730852</v>
      </c>
      <c r="F78" s="202">
        <v>41.775106647354804</v>
      </c>
      <c r="G78" s="202">
        <v>36.753685992334695</v>
      </c>
      <c r="H78" s="338">
        <v>32.741017521011393</v>
      </c>
      <c r="I78" s="297"/>
      <c r="K78" s="465"/>
      <c r="L78" s="250"/>
      <c r="M78" s="199"/>
      <c r="N78" s="199"/>
      <c r="O78" s="199"/>
      <c r="P78" s="199"/>
      <c r="Q78" s="199"/>
    </row>
    <row r="79" spans="2:17" x14ac:dyDescent="0.25">
      <c r="B79" s="466"/>
      <c r="C79" s="337">
        <f>+C80-0.005</f>
        <v>3.5000000000000003E-2</v>
      </c>
      <c r="D79" s="203">
        <v>62.287528571323776</v>
      </c>
      <c r="E79" s="201">
        <v>51.031124643540736</v>
      </c>
      <c r="F79" s="202">
        <v>43.474011723957616</v>
      </c>
      <c r="G79" s="338">
        <v>37.915734662741052</v>
      </c>
      <c r="H79" s="200">
        <v>33.573791445467073</v>
      </c>
      <c r="I79" s="297"/>
      <c r="K79" s="465"/>
      <c r="L79" s="250"/>
      <c r="M79" s="199"/>
      <c r="N79" s="199"/>
      <c r="O79" s="199"/>
      <c r="P79" s="199"/>
      <c r="Q79" s="199"/>
    </row>
    <row r="80" spans="2:17" x14ac:dyDescent="0.25">
      <c r="B80" s="466"/>
      <c r="C80" s="337">
        <v>0.04</v>
      </c>
      <c r="D80" s="203">
        <v>68.419489837765965</v>
      </c>
      <c r="E80" s="203">
        <v>54.363385488182601</v>
      </c>
      <c r="F80" s="207">
        <v>45.520644087176038</v>
      </c>
      <c r="G80" s="200">
        <v>39.275217927819924</v>
      </c>
      <c r="H80" s="200">
        <v>34.527507191313411</v>
      </c>
      <c r="I80" s="297"/>
      <c r="K80" s="465"/>
      <c r="L80" s="250"/>
      <c r="M80" s="199"/>
      <c r="N80" s="199"/>
      <c r="O80" s="199"/>
      <c r="P80" s="199"/>
      <c r="Q80" s="199"/>
    </row>
    <row r="81" spans="2:17" x14ac:dyDescent="0.25">
      <c r="B81" s="466"/>
      <c r="C81" s="337">
        <f>+C80+0.005</f>
        <v>4.4999999999999998E-2</v>
      </c>
      <c r="D81" s="203">
        <v>77.121706680156194</v>
      </c>
      <c r="E81" s="204">
        <v>58.679850952356979</v>
      </c>
      <c r="F81" s="205">
        <v>48.033932570565611</v>
      </c>
      <c r="G81" s="206">
        <v>40.887123941068047</v>
      </c>
      <c r="H81" s="200">
        <v>35.630573797296861</v>
      </c>
      <c r="I81" s="297"/>
      <c r="K81" s="465"/>
      <c r="L81" s="250"/>
      <c r="M81" s="199"/>
      <c r="N81" s="199"/>
      <c r="O81" s="199"/>
      <c r="P81" s="199"/>
      <c r="Q81" s="199"/>
    </row>
    <row r="82" spans="2:17" ht="14.45" customHeight="1" x14ac:dyDescent="0.25">
      <c r="B82" s="466"/>
      <c r="C82" s="337">
        <f>+C81+0.005</f>
        <v>4.9999999999999996E-2</v>
      </c>
      <c r="D82" s="204">
        <v>90.438672814352387</v>
      </c>
      <c r="E82" s="205">
        <v>64.492108006235384</v>
      </c>
      <c r="F82" s="205">
        <v>51.194018974471362</v>
      </c>
      <c r="G82" s="205">
        <v>42.82895050843387</v>
      </c>
      <c r="H82" s="206">
        <v>36.921053817017096</v>
      </c>
      <c r="I82" s="297"/>
      <c r="K82" s="465"/>
      <c r="L82" s="250"/>
      <c r="M82" s="199"/>
      <c r="N82" s="199"/>
      <c r="O82" s="199"/>
      <c r="P82" s="199"/>
      <c r="Q82" s="199"/>
    </row>
    <row r="86" spans="2:17" x14ac:dyDescent="0.25">
      <c r="B86" s="407"/>
      <c r="C86" s="407"/>
    </row>
    <row r="87" spans="2:17" x14ac:dyDescent="0.25">
      <c r="B87" s="408"/>
      <c r="C87" s="409"/>
    </row>
    <row r="88" spans="2:17" x14ac:dyDescent="0.25">
      <c r="B88" s="407"/>
      <c r="C88" s="407"/>
    </row>
    <row r="89" spans="2:17" x14ac:dyDescent="0.25">
      <c r="B89" s="313"/>
      <c r="C89" s="410"/>
    </row>
    <row r="90" spans="2:17" x14ac:dyDescent="0.25">
      <c r="B90" s="313"/>
      <c r="C90" s="411"/>
    </row>
    <row r="91" spans="2:17" x14ac:dyDescent="0.25">
      <c r="B91" s="313"/>
      <c r="C91" s="410"/>
    </row>
    <row r="92" spans="2:17" x14ac:dyDescent="0.25">
      <c r="B92" s="313"/>
      <c r="C92" s="412"/>
    </row>
    <row r="93" spans="2:17" x14ac:dyDescent="0.25">
      <c r="B93" s="408"/>
      <c r="C93" s="409"/>
    </row>
    <row r="94" spans="2:17" x14ac:dyDescent="0.25">
      <c r="B94" s="313"/>
      <c r="C94" s="413"/>
    </row>
    <row r="95" spans="2:17" x14ac:dyDescent="0.25">
      <c r="B95" s="407"/>
      <c r="C95" s="414"/>
    </row>
    <row r="96" spans="2:17" x14ac:dyDescent="0.25">
      <c r="B96" s="313"/>
      <c r="C96" s="415"/>
    </row>
    <row r="97" spans="2:6" x14ac:dyDescent="0.25">
      <c r="B97" s="313"/>
      <c r="C97" s="410"/>
    </row>
    <row r="98" spans="2:6" x14ac:dyDescent="0.25">
      <c r="B98" s="313"/>
      <c r="C98" s="410"/>
    </row>
    <row r="99" spans="2:6" x14ac:dyDescent="0.25">
      <c r="B99" s="408"/>
      <c r="C99" s="409"/>
    </row>
    <row r="100" spans="2:6" x14ac:dyDescent="0.25">
      <c r="B100" s="313"/>
      <c r="C100" s="416"/>
    </row>
    <row r="101" spans="2:6" x14ac:dyDescent="0.25">
      <c r="B101" s="313"/>
      <c r="C101" s="416"/>
      <c r="F101" s="341"/>
    </row>
    <row r="102" spans="2:6" x14ac:dyDescent="0.25">
      <c r="B102" s="313"/>
      <c r="C102" s="416"/>
      <c r="F102" s="341"/>
    </row>
    <row r="103" spans="2:6" x14ac:dyDescent="0.25">
      <c r="B103" s="408"/>
      <c r="C103" s="409"/>
      <c r="F103" s="150"/>
    </row>
    <row r="104" spans="2:6" x14ac:dyDescent="0.25">
      <c r="B104" s="417"/>
      <c r="C104" s="418"/>
      <c r="F104" s="150"/>
    </row>
    <row r="105" spans="2:6" x14ac:dyDescent="0.25">
      <c r="B105" s="313"/>
      <c r="C105" s="419"/>
    </row>
    <row r="106" spans="2:6" x14ac:dyDescent="0.25">
      <c r="B106" s="313"/>
      <c r="C106" s="419"/>
    </row>
    <row r="107" spans="2:6" x14ac:dyDescent="0.25">
      <c r="B107" s="313"/>
      <c r="C107" s="410"/>
    </row>
    <row r="108" spans="2:6" x14ac:dyDescent="0.25">
      <c r="B108" s="313"/>
      <c r="C108" s="313"/>
    </row>
    <row r="109" spans="2:6" x14ac:dyDescent="0.25">
      <c r="B109" s="408"/>
      <c r="C109" s="409"/>
    </row>
  </sheetData>
  <mergeCells count="4">
    <mergeCell ref="B68:B73"/>
    <mergeCell ref="B77:B82"/>
    <mergeCell ref="K68:K73"/>
    <mergeCell ref="K77:K82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D9EFF-F4C3-4555-BC99-C45CA95AF207}">
  <dimension ref="A1:Z49"/>
  <sheetViews>
    <sheetView showGridLines="0" workbookViewId="0">
      <selection activeCell="D9" sqref="D9"/>
    </sheetView>
  </sheetViews>
  <sheetFormatPr defaultColWidth="8.85546875" defaultRowHeight="15" x14ac:dyDescent="0.25"/>
  <cols>
    <col min="1" max="1" width="2.5703125" customWidth="1"/>
    <col min="2" max="2" width="30.28515625" bestFit="1" customWidth="1"/>
    <col min="3" max="3" width="17.42578125" bestFit="1" customWidth="1"/>
    <col min="4" max="4" width="11.140625" customWidth="1"/>
    <col min="7" max="7" width="9.42578125" bestFit="1" customWidth="1"/>
    <col min="9" max="9" width="9.42578125" bestFit="1" customWidth="1"/>
    <col min="20" max="20" width="30.140625" bestFit="1" customWidth="1"/>
  </cols>
  <sheetData>
    <row r="1" spans="1:26" ht="2.1" customHeight="1" x14ac:dyDescent="0.25"/>
    <row r="2" spans="1:26" x14ac:dyDescent="0.25">
      <c r="A2" t="s">
        <v>108</v>
      </c>
      <c r="B2" t="s">
        <v>271</v>
      </c>
    </row>
    <row r="3" spans="1:26" x14ac:dyDescent="0.25">
      <c r="E3" s="97" t="s">
        <v>216</v>
      </c>
      <c r="F3" s="161"/>
      <c r="G3" s="97" t="s">
        <v>216</v>
      </c>
      <c r="H3" s="97"/>
      <c r="I3" s="97"/>
      <c r="J3" s="97"/>
      <c r="K3" s="97"/>
      <c r="L3" s="97"/>
    </row>
    <row r="4" spans="1:26" x14ac:dyDescent="0.25">
      <c r="B4" s="3"/>
      <c r="C4" s="3"/>
      <c r="D4" s="3"/>
      <c r="E4" s="6">
        <v>2022</v>
      </c>
      <c r="F4" s="149">
        <f t="shared" ref="F4:L4" si="0">+E4+1</f>
        <v>2023</v>
      </c>
      <c r="G4" s="6">
        <f t="shared" si="0"/>
        <v>2024</v>
      </c>
      <c r="H4" s="6">
        <f t="shared" si="0"/>
        <v>2025</v>
      </c>
      <c r="I4" s="6">
        <f t="shared" si="0"/>
        <v>2026</v>
      </c>
      <c r="J4" s="6">
        <f t="shared" si="0"/>
        <v>2027</v>
      </c>
      <c r="K4" s="6">
        <f t="shared" si="0"/>
        <v>2028</v>
      </c>
      <c r="L4" s="6">
        <f t="shared" si="0"/>
        <v>2029</v>
      </c>
      <c r="T4" s="297"/>
      <c r="U4" s="309"/>
      <c r="V4" s="309"/>
      <c r="W4" s="309"/>
      <c r="X4" s="309"/>
      <c r="Y4" s="309"/>
      <c r="Z4" s="309"/>
    </row>
    <row r="5" spans="1:26" ht="2.1" customHeight="1" x14ac:dyDescent="0.25">
      <c r="F5" s="159"/>
      <c r="T5" s="297"/>
      <c r="U5" s="297"/>
      <c r="V5" s="297"/>
      <c r="W5" s="297"/>
      <c r="X5" s="297"/>
      <c r="Y5" s="297"/>
      <c r="Z5" s="297"/>
    </row>
    <row r="6" spans="1:26" x14ac:dyDescent="0.25">
      <c r="B6" t="s">
        <v>11</v>
      </c>
      <c r="E6" s="18">
        <f>+'Income Statement'!G5</f>
        <v>1236.0999999999999</v>
      </c>
      <c r="F6" s="183">
        <f>+'Income Statement'!H5</f>
        <v>1443.5</v>
      </c>
      <c r="G6" s="18">
        <f>+(1+G7)*F6</f>
        <v>1631.1549999999997</v>
      </c>
      <c r="H6" s="18">
        <f t="shared" ref="H6:L6" si="1">+(1+H7)*G6</f>
        <v>1843.2051499999995</v>
      </c>
      <c r="I6" s="18">
        <f t="shared" si="1"/>
        <v>2082.8218194999995</v>
      </c>
      <c r="J6" s="18">
        <f t="shared" si="1"/>
        <v>2353.5886560349991</v>
      </c>
      <c r="K6" s="18">
        <f t="shared" si="1"/>
        <v>2659.5551813195489</v>
      </c>
      <c r="L6" s="18">
        <f t="shared" si="1"/>
        <v>3005.29735489109</v>
      </c>
      <c r="T6" s="342"/>
      <c r="U6" s="311"/>
      <c r="V6" s="311"/>
      <c r="W6" s="311"/>
      <c r="X6" s="311"/>
      <c r="Y6" s="311"/>
      <c r="Z6" s="311"/>
    </row>
    <row r="7" spans="1:26" x14ac:dyDescent="0.25">
      <c r="B7" s="7" t="s">
        <v>102</v>
      </c>
      <c r="C7" s="58" t="s">
        <v>274</v>
      </c>
      <c r="D7" s="190">
        <v>0.13</v>
      </c>
      <c r="E7" s="15"/>
      <c r="F7" s="153">
        <f>+F6/E6-1</f>
        <v>0.16778577784968873</v>
      </c>
      <c r="G7" s="181">
        <f>+$D$7</f>
        <v>0.13</v>
      </c>
      <c r="H7" s="181">
        <f t="shared" ref="H7:L7" si="2">+$D$7</f>
        <v>0.13</v>
      </c>
      <c r="I7" s="181">
        <f t="shared" si="2"/>
        <v>0.13</v>
      </c>
      <c r="J7" s="181">
        <f t="shared" si="2"/>
        <v>0.13</v>
      </c>
      <c r="K7" s="181">
        <f t="shared" si="2"/>
        <v>0.13</v>
      </c>
      <c r="L7" s="181">
        <f t="shared" si="2"/>
        <v>0.13</v>
      </c>
      <c r="T7" s="344"/>
      <c r="U7" s="345"/>
      <c r="V7" s="345"/>
      <c r="W7" s="345"/>
      <c r="X7" s="345"/>
      <c r="Y7" s="345"/>
      <c r="Z7" s="345"/>
    </row>
    <row r="8" spans="1:26" x14ac:dyDescent="0.25">
      <c r="B8" t="s">
        <v>137</v>
      </c>
      <c r="C8" s="58"/>
      <c r="E8" s="184">
        <f>+'Income Statement'!G19</f>
        <v>213.4</v>
      </c>
      <c r="F8" s="185">
        <f>+'Op Model'!H18</f>
        <v>274.8</v>
      </c>
      <c r="G8" s="184">
        <f>+G6*G9</f>
        <v>358.85409999999996</v>
      </c>
      <c r="H8" s="184">
        <f t="shared" ref="H8:L8" si="3">+H6*H9</f>
        <v>405.50513299999989</v>
      </c>
      <c r="I8" s="184">
        <f t="shared" si="3"/>
        <v>458.22080028999989</v>
      </c>
      <c r="J8" s="184">
        <f t="shared" si="3"/>
        <v>517.78950432769977</v>
      </c>
      <c r="K8" s="184">
        <f t="shared" si="3"/>
        <v>585.1021398903008</v>
      </c>
      <c r="L8" s="184">
        <f t="shared" si="3"/>
        <v>661.16541807603983</v>
      </c>
      <c r="T8" s="297"/>
      <c r="U8" s="346"/>
      <c r="V8" s="346"/>
      <c r="W8" s="346"/>
      <c r="X8" s="346"/>
      <c r="Y8" s="346"/>
      <c r="Z8" s="346"/>
    </row>
    <row r="9" spans="1:26" x14ac:dyDescent="0.25">
      <c r="B9" s="135" t="s">
        <v>272</v>
      </c>
      <c r="C9" s="58" t="s">
        <v>272</v>
      </c>
      <c r="D9" s="190">
        <v>0.22</v>
      </c>
      <c r="E9" s="154">
        <f>+E8/E6</f>
        <v>0.1726397540652051</v>
      </c>
      <c r="F9" s="153">
        <f>+F8/F6</f>
        <v>0.19037062694838933</v>
      </c>
      <c r="G9" s="181">
        <f>+$D$9</f>
        <v>0.22</v>
      </c>
      <c r="H9" s="181">
        <f t="shared" ref="H9:L9" si="4">+$D$9</f>
        <v>0.22</v>
      </c>
      <c r="I9" s="181">
        <f t="shared" si="4"/>
        <v>0.22</v>
      </c>
      <c r="J9" s="181">
        <f t="shared" si="4"/>
        <v>0.22</v>
      </c>
      <c r="K9" s="181">
        <f t="shared" si="4"/>
        <v>0.22</v>
      </c>
      <c r="L9" s="181">
        <f t="shared" si="4"/>
        <v>0.22</v>
      </c>
      <c r="T9" s="347"/>
      <c r="U9" s="345"/>
      <c r="V9" s="345"/>
      <c r="W9" s="345"/>
      <c r="X9" s="345"/>
      <c r="Y9" s="345"/>
      <c r="Z9" s="345"/>
    </row>
    <row r="10" spans="1:26" x14ac:dyDescent="0.25">
      <c r="B10" s="135"/>
      <c r="C10" s="293"/>
      <c r="D10" s="186"/>
      <c r="E10" s="154"/>
      <c r="F10" s="153"/>
      <c r="G10" s="181"/>
      <c r="H10" s="181"/>
      <c r="I10" s="181"/>
      <c r="J10" s="181"/>
      <c r="K10" s="181"/>
      <c r="L10" s="181"/>
      <c r="T10" s="347"/>
      <c r="U10" s="345"/>
      <c r="V10" s="345"/>
      <c r="W10" s="345"/>
      <c r="X10" s="345"/>
      <c r="Y10" s="345"/>
      <c r="Z10" s="345"/>
    </row>
    <row r="11" spans="1:26" ht="14.45" customHeight="1" x14ac:dyDescent="0.25">
      <c r="B11" t="s">
        <v>273</v>
      </c>
      <c r="C11" s="58" t="s">
        <v>327</v>
      </c>
      <c r="D11" s="190">
        <v>2.5000000000000001E-2</v>
      </c>
      <c r="E11" s="184">
        <f>-'Op Model'!G21</f>
        <v>-34.700000000000003</v>
      </c>
      <c r="F11" s="185">
        <f>-'Op Model'!H21</f>
        <v>-37.1</v>
      </c>
      <c r="G11" s="184">
        <f>-$D$11*G6</f>
        <v>-40.778874999999999</v>
      </c>
      <c r="H11" s="184">
        <f t="shared" ref="H11:L11" si="5">-$D$11*H6</f>
        <v>-46.080128749999993</v>
      </c>
      <c r="I11" s="184">
        <f t="shared" si="5"/>
        <v>-52.070545487499992</v>
      </c>
      <c r="J11" s="184">
        <f t="shared" si="5"/>
        <v>-58.839716400874977</v>
      </c>
      <c r="K11" s="184">
        <f t="shared" si="5"/>
        <v>-66.488879532988719</v>
      </c>
      <c r="L11" s="184">
        <f t="shared" si="5"/>
        <v>-75.132433872277247</v>
      </c>
      <c r="T11" s="297"/>
      <c r="U11" s="346"/>
      <c r="V11" s="346"/>
      <c r="W11" s="346"/>
      <c r="X11" s="346"/>
      <c r="Y11" s="346"/>
      <c r="Z11" s="346"/>
    </row>
    <row r="12" spans="1:26" x14ac:dyDescent="0.25">
      <c r="B12" s="20" t="s">
        <v>197</v>
      </c>
      <c r="C12" s="294"/>
      <c r="D12" s="3"/>
      <c r="E12" s="187">
        <f>+SUM(E11,E8)</f>
        <v>178.7</v>
      </c>
      <c r="F12" s="188">
        <f t="shared" ref="F12:L12" si="6">+SUM(F11,F8)</f>
        <v>237.70000000000002</v>
      </c>
      <c r="G12" s="187">
        <f t="shared" si="6"/>
        <v>318.07522499999993</v>
      </c>
      <c r="H12" s="187">
        <f t="shared" si="6"/>
        <v>359.42500424999992</v>
      </c>
      <c r="I12" s="187">
        <f t="shared" si="6"/>
        <v>406.15025480249989</v>
      </c>
      <c r="J12" s="187">
        <f t="shared" si="6"/>
        <v>458.9497879268248</v>
      </c>
      <c r="K12" s="187">
        <f t="shared" si="6"/>
        <v>518.61326035731213</v>
      </c>
      <c r="L12" s="187">
        <f t="shared" si="6"/>
        <v>586.03298420376257</v>
      </c>
      <c r="T12" s="342"/>
      <c r="U12" s="348"/>
      <c r="V12" s="348"/>
      <c r="W12" s="348"/>
      <c r="X12" s="348"/>
      <c r="Y12" s="348"/>
      <c r="Z12" s="348"/>
    </row>
    <row r="13" spans="1:26" ht="2.1" customHeight="1" x14ac:dyDescent="0.25">
      <c r="C13" s="58"/>
      <c r="E13" s="184"/>
      <c r="F13" s="189"/>
      <c r="G13" s="184"/>
      <c r="H13" s="184"/>
      <c r="I13" s="184"/>
      <c r="J13" s="184"/>
      <c r="K13" s="184"/>
      <c r="L13" s="184"/>
      <c r="T13" s="297"/>
      <c r="U13" s="346"/>
      <c r="V13" s="346"/>
      <c r="W13" s="346"/>
      <c r="X13" s="346"/>
      <c r="Y13" s="346"/>
      <c r="Z13" s="346"/>
    </row>
    <row r="14" spans="1:26" x14ac:dyDescent="0.25">
      <c r="B14" t="s">
        <v>208</v>
      </c>
      <c r="C14" s="58" t="s">
        <v>275</v>
      </c>
      <c r="D14" s="190">
        <v>0.55000000000000004</v>
      </c>
      <c r="E14" s="184">
        <f>+'Cash Flow'!G8</f>
        <v>71.400000000000006</v>
      </c>
      <c r="F14" s="185">
        <f>+'Cash Flow'!H8</f>
        <v>88.8</v>
      </c>
      <c r="G14" s="184">
        <f>-$D$14*G16</f>
        <v>98.684877499999999</v>
      </c>
      <c r="H14" s="184">
        <f t="shared" ref="H14:L14" si="7">-$D$14*H16</f>
        <v>111.51391157499998</v>
      </c>
      <c r="I14" s="184">
        <f t="shared" si="7"/>
        <v>126.01072007974997</v>
      </c>
      <c r="J14" s="184">
        <f t="shared" si="7"/>
        <v>142.39211369011744</v>
      </c>
      <c r="K14" s="184">
        <f t="shared" si="7"/>
        <v>160.90308846983274</v>
      </c>
      <c r="L14" s="184">
        <f t="shared" si="7"/>
        <v>181.82048997091096</v>
      </c>
      <c r="T14" s="297"/>
      <c r="U14" s="346"/>
      <c r="V14" s="346"/>
      <c r="W14" s="346"/>
      <c r="X14" s="346"/>
      <c r="Y14" s="346"/>
      <c r="Z14" s="346"/>
    </row>
    <row r="15" spans="1:26" x14ac:dyDescent="0.25">
      <c r="B15" t="s">
        <v>210</v>
      </c>
      <c r="C15" s="58" t="s">
        <v>276</v>
      </c>
      <c r="D15" s="190">
        <v>0.02</v>
      </c>
      <c r="E15" s="184">
        <f>-'Balance Sheet'!G69</f>
        <v>273</v>
      </c>
      <c r="F15" s="185">
        <f>-'Balance Sheet'!H69</f>
        <v>-801.5</v>
      </c>
      <c r="G15" s="184">
        <f>-$D$15*G6</f>
        <v>-32.623099999999994</v>
      </c>
      <c r="H15" s="184">
        <f t="shared" ref="H15:L15" si="8">-$D$15*H6</f>
        <v>-36.864102999999993</v>
      </c>
      <c r="I15" s="184">
        <f t="shared" si="8"/>
        <v>-41.656436389999989</v>
      </c>
      <c r="J15" s="184">
        <f t="shared" si="8"/>
        <v>-47.07177312069998</v>
      </c>
      <c r="K15" s="184">
        <f t="shared" si="8"/>
        <v>-53.191103626390976</v>
      </c>
      <c r="L15" s="184">
        <f t="shared" si="8"/>
        <v>-60.105947097821797</v>
      </c>
      <c r="T15" s="297"/>
      <c r="U15" s="346"/>
      <c r="V15" s="346"/>
      <c r="W15" s="346"/>
      <c r="X15" s="346"/>
      <c r="Y15" s="346"/>
      <c r="Z15" s="346"/>
    </row>
    <row r="16" spans="1:26" x14ac:dyDescent="0.25">
      <c r="B16" t="s">
        <v>211</v>
      </c>
      <c r="C16" s="58" t="s">
        <v>276</v>
      </c>
      <c r="D16" s="190">
        <v>0.11</v>
      </c>
      <c r="E16" s="184">
        <f>+'Cash Flow'!G20</f>
        <v>-132</v>
      </c>
      <c r="F16" s="185">
        <f>+'Cash Flow'!H20</f>
        <v>-180.5</v>
      </c>
      <c r="G16" s="184">
        <f>-$D$16*G6</f>
        <v>-179.42704999999998</v>
      </c>
      <c r="H16" s="184">
        <f t="shared" ref="H16:L16" si="9">-$D$16*H6</f>
        <v>-202.75256649999994</v>
      </c>
      <c r="I16" s="184">
        <f t="shared" si="9"/>
        <v>-229.11040014499994</v>
      </c>
      <c r="J16" s="184">
        <f t="shared" si="9"/>
        <v>-258.89475216384989</v>
      </c>
      <c r="K16" s="184">
        <f t="shared" si="9"/>
        <v>-292.5510699451504</v>
      </c>
      <c r="L16" s="184">
        <f t="shared" si="9"/>
        <v>-330.58270903801991</v>
      </c>
      <c r="T16" s="297"/>
      <c r="U16" s="346"/>
      <c r="V16" s="346"/>
      <c r="W16" s="346"/>
      <c r="X16" s="346"/>
      <c r="Y16" s="346"/>
      <c r="Z16" s="346"/>
    </row>
    <row r="17" spans="1:26" x14ac:dyDescent="0.25">
      <c r="C17" s="58"/>
      <c r="E17" s="297"/>
      <c r="F17" s="155"/>
      <c r="T17" s="297"/>
      <c r="U17" s="297"/>
      <c r="V17" s="297"/>
      <c r="W17" s="297"/>
      <c r="X17" s="297"/>
      <c r="Y17" s="297"/>
      <c r="Z17" s="297"/>
    </row>
    <row r="18" spans="1:26" ht="2.1" customHeight="1" x14ac:dyDescent="0.25">
      <c r="B18" s="182"/>
      <c r="C18" s="295"/>
      <c r="D18" s="182"/>
      <c r="E18" s="182"/>
      <c r="F18" s="297"/>
      <c r="G18" s="182"/>
      <c r="H18" s="182"/>
      <c r="I18" s="182"/>
      <c r="J18" s="182"/>
      <c r="K18" s="182"/>
      <c r="L18" s="182"/>
      <c r="T18" s="297"/>
      <c r="U18" s="297"/>
      <c r="V18" s="297"/>
      <c r="W18" s="297"/>
      <c r="X18" s="297"/>
      <c r="Y18" s="297"/>
      <c r="Z18" s="297"/>
    </row>
    <row r="19" spans="1:26" x14ac:dyDescent="0.25">
      <c r="B19" s="5" t="s">
        <v>212</v>
      </c>
      <c r="C19" s="296"/>
      <c r="D19" s="5"/>
      <c r="E19" s="63">
        <f t="shared" ref="E19:L19" si="10">+SUM(E14:E16,E12)</f>
        <v>391.09999999999997</v>
      </c>
      <c r="F19" s="63">
        <f t="shared" si="10"/>
        <v>-655.5</v>
      </c>
      <c r="G19" s="63">
        <f t="shared" si="10"/>
        <v>204.70995249999996</v>
      </c>
      <c r="H19" s="63">
        <f t="shared" si="10"/>
        <v>231.32224632499995</v>
      </c>
      <c r="I19" s="63">
        <f t="shared" si="10"/>
        <v>261.39413834724996</v>
      </c>
      <c r="J19" s="63">
        <f t="shared" si="10"/>
        <v>295.37537633239236</v>
      </c>
      <c r="K19" s="63">
        <f t="shared" si="10"/>
        <v>333.7741752556035</v>
      </c>
      <c r="L19" s="63">
        <f t="shared" si="10"/>
        <v>377.16481803883181</v>
      </c>
      <c r="T19" s="342"/>
      <c r="U19" s="348"/>
      <c r="V19" s="348"/>
      <c r="W19" s="348"/>
      <c r="X19" s="348"/>
      <c r="Y19" s="348"/>
      <c r="Z19" s="348"/>
    </row>
    <row r="20" spans="1:26" x14ac:dyDescent="0.25">
      <c r="B20" t="s">
        <v>278</v>
      </c>
      <c r="C20" s="58"/>
      <c r="G20">
        <v>0.75</v>
      </c>
      <c r="H20">
        <f>+G20+1</f>
        <v>1.75</v>
      </c>
      <c r="I20">
        <f t="shared" ref="I20:L20" si="11">+H20+1</f>
        <v>2.75</v>
      </c>
      <c r="J20">
        <f t="shared" si="11"/>
        <v>3.75</v>
      </c>
      <c r="K20">
        <f t="shared" si="11"/>
        <v>4.75</v>
      </c>
      <c r="L20">
        <f t="shared" si="11"/>
        <v>5.75</v>
      </c>
      <c r="T20" s="297"/>
      <c r="U20" s="297"/>
      <c r="V20" s="297"/>
      <c r="W20" s="297"/>
      <c r="X20" s="297"/>
      <c r="Y20" s="297"/>
      <c r="Z20" s="297"/>
    </row>
    <row r="21" spans="1:26" x14ac:dyDescent="0.25">
      <c r="B21" t="s">
        <v>223</v>
      </c>
      <c r="C21" s="58" t="s">
        <v>172</v>
      </c>
      <c r="D21" s="425">
        <f ca="1">+WACC!L41</f>
        <v>8.8856897676829819E-2</v>
      </c>
      <c r="G21" s="162">
        <f ca="1">+(1+$D$21)^(-G20)</f>
        <v>0.93814916212043242</v>
      </c>
      <c r="H21" s="162">
        <f t="shared" ref="H21:L21" ca="1" si="12">+(1+$D$21)^(-H20)</f>
        <v>0.8615908703173526</v>
      </c>
      <c r="I21" s="162">
        <f t="shared" ca="1" si="12"/>
        <v>0.79128016928177725</v>
      </c>
      <c r="J21" s="162">
        <f t="shared" ca="1" si="12"/>
        <v>0.72670722017745559</v>
      </c>
      <c r="K21" s="162">
        <f t="shared" ca="1" si="12"/>
        <v>0.66740378990843352</v>
      </c>
      <c r="L21" s="162">
        <f t="shared" ca="1" si="12"/>
        <v>0.61293985585470145</v>
      </c>
      <c r="T21" s="297"/>
      <c r="U21" s="349"/>
      <c r="V21" s="349"/>
      <c r="W21" s="349"/>
      <c r="X21" s="349"/>
      <c r="Y21" s="349"/>
      <c r="Z21" s="349"/>
    </row>
    <row r="22" spans="1:26" x14ac:dyDescent="0.25">
      <c r="B22" s="5" t="s">
        <v>214</v>
      </c>
      <c r="G22" s="63">
        <f ca="1">+G19*G21</f>
        <v>192.04847041558847</v>
      </c>
      <c r="H22" s="63">
        <f t="shared" ref="H22:L22" ca="1" si="13">+H19*H21</f>
        <v>199.30513553492173</v>
      </c>
      <c r="I22" s="63">
        <f t="shared" ca="1" si="13"/>
        <v>206.83599804067626</v>
      </c>
      <c r="J22" s="63">
        <f t="shared" ca="1" si="13"/>
        <v>214.65141864338267</v>
      </c>
      <c r="K22" s="63">
        <f t="shared" ca="1" si="13"/>
        <v>222.76214953915147</v>
      </c>
      <c r="L22" s="63">
        <f t="shared" ca="1" si="13"/>
        <v>231.17934920218627</v>
      </c>
      <c r="T22" s="342"/>
      <c r="U22" s="311"/>
      <c r="V22" s="311"/>
      <c r="W22" s="311"/>
      <c r="X22" s="311"/>
      <c r="Y22" s="311"/>
      <c r="Z22" s="311"/>
    </row>
    <row r="24" spans="1:26" x14ac:dyDescent="0.25">
      <c r="A24" t="s">
        <v>108</v>
      </c>
      <c r="B24" s="97" t="s">
        <v>285</v>
      </c>
      <c r="C24" s="97"/>
      <c r="E24" s="97" t="s">
        <v>286</v>
      </c>
      <c r="F24" s="97"/>
      <c r="G24" s="97"/>
      <c r="H24" s="97"/>
      <c r="I24" s="97"/>
      <c r="K24" s="97" t="s">
        <v>283</v>
      </c>
      <c r="L24" s="97"/>
      <c r="M24" s="97"/>
      <c r="N24" s="97"/>
    </row>
    <row r="25" spans="1:26" ht="2.1" customHeight="1" x14ac:dyDescent="0.25">
      <c r="K25" s="3"/>
      <c r="L25" s="3"/>
      <c r="M25" s="3"/>
      <c r="N25" s="3"/>
    </row>
    <row r="26" spans="1:26" x14ac:dyDescent="0.25">
      <c r="B26" s="5" t="s">
        <v>218</v>
      </c>
      <c r="C26" s="151">
        <f ca="1">+SUM(G22:L22)</f>
        <v>1266.782521375907</v>
      </c>
      <c r="E26" s="5" t="s">
        <v>218</v>
      </c>
      <c r="I26" s="63">
        <f ca="1">+SUM(G22:L22)</f>
        <v>1266.782521375907</v>
      </c>
      <c r="K26" s="208" t="s">
        <v>284</v>
      </c>
      <c r="L26" s="24"/>
      <c r="M26" s="24"/>
      <c r="N26" s="209">
        <f>+D7</f>
        <v>0.13</v>
      </c>
      <c r="O26" t="s">
        <v>374</v>
      </c>
    </row>
    <row r="27" spans="1:26" x14ac:dyDescent="0.25">
      <c r="B27" s="3" t="s">
        <v>220</v>
      </c>
      <c r="C27" s="3"/>
      <c r="E27" t="s">
        <v>220</v>
      </c>
      <c r="K27" s="468" t="s">
        <v>290</v>
      </c>
      <c r="L27" s="469"/>
      <c r="M27" s="469"/>
      <c r="N27" s="470">
        <f>+C29</f>
        <v>3.5000000000000003E-2</v>
      </c>
      <c r="O27" t="s">
        <v>455</v>
      </c>
    </row>
    <row r="28" spans="1:26" ht="2.1" customHeight="1" x14ac:dyDescent="0.25">
      <c r="E28" s="182"/>
      <c r="F28" s="182"/>
      <c r="G28" s="182"/>
      <c r="H28" s="182"/>
      <c r="I28" s="182"/>
      <c r="K28" s="468"/>
      <c r="L28" s="469"/>
      <c r="M28" s="469"/>
      <c r="N28" s="470"/>
    </row>
    <row r="29" spans="1:26" x14ac:dyDescent="0.25">
      <c r="B29" t="s">
        <v>279</v>
      </c>
      <c r="C29" s="194">
        <v>3.5000000000000003E-2</v>
      </c>
      <c r="E29" t="s">
        <v>221</v>
      </c>
      <c r="I29" s="18">
        <f>+L8+L14</f>
        <v>842.98590804695073</v>
      </c>
      <c r="K29" s="210" t="s">
        <v>222</v>
      </c>
      <c r="L29" s="211"/>
      <c r="M29" s="211"/>
      <c r="N29" s="212">
        <f>+I30</f>
        <v>10</v>
      </c>
    </row>
    <row r="30" spans="1:26" x14ac:dyDescent="0.25">
      <c r="B30" t="s">
        <v>280</v>
      </c>
      <c r="C30" s="150">
        <f>+L19*(1+C29)</f>
        <v>390.36558667019091</v>
      </c>
      <c r="E30" t="s">
        <v>222</v>
      </c>
      <c r="I30" s="163">
        <v>10</v>
      </c>
    </row>
    <row r="31" spans="1:26" x14ac:dyDescent="0.25">
      <c r="B31" t="s">
        <v>281</v>
      </c>
      <c r="C31" s="150">
        <f ca="1">+C30/(D21-C29)</f>
        <v>7248.2003886037619</v>
      </c>
      <c r="E31" t="s">
        <v>220</v>
      </c>
      <c r="I31" s="18">
        <f>+I30*I29</f>
        <v>8429.8590804695068</v>
      </c>
    </row>
    <row r="32" spans="1:26" ht="2.1" customHeight="1" x14ac:dyDescent="0.25">
      <c r="B32" s="182"/>
      <c r="C32" s="191"/>
      <c r="E32" s="182" t="s">
        <v>223</v>
      </c>
      <c r="F32" s="182"/>
      <c r="G32" s="182"/>
      <c r="H32" s="182"/>
      <c r="I32" s="182"/>
    </row>
    <row r="33" spans="2:9" x14ac:dyDescent="0.25">
      <c r="B33" s="5" t="s">
        <v>224</v>
      </c>
      <c r="C33" s="150">
        <f ca="1">+C31*L21</f>
        <v>4442.7109013967811</v>
      </c>
      <c r="E33" s="5" t="s">
        <v>224</v>
      </c>
      <c r="I33" s="18">
        <f ca="1">+I31*L21</f>
        <v>5166.9966096584258</v>
      </c>
    </row>
    <row r="34" spans="2:9" x14ac:dyDescent="0.25">
      <c r="B34" s="15" t="s">
        <v>225</v>
      </c>
      <c r="C34" s="8">
        <f ca="1">+C33/C41</f>
        <v>0.73171558683395488</v>
      </c>
      <c r="E34" s="15" t="s">
        <v>225</v>
      </c>
      <c r="I34" s="23">
        <f ca="1">+I33/I36</f>
        <v>0.80310444365965494</v>
      </c>
    </row>
    <row r="35" spans="2:9" ht="2.1" customHeight="1" x14ac:dyDescent="0.25">
      <c r="B35" s="195"/>
      <c r="C35" s="196"/>
      <c r="E35" s="182"/>
      <c r="F35" s="182"/>
      <c r="G35" s="182"/>
      <c r="H35" s="182"/>
      <c r="I35" s="182"/>
    </row>
    <row r="36" spans="2:9" x14ac:dyDescent="0.25">
      <c r="B36" s="5" t="s">
        <v>217</v>
      </c>
      <c r="C36" s="151">
        <f ca="1">+C33+C26</f>
        <v>5709.4934227726881</v>
      </c>
      <c r="E36" s="5" t="s">
        <v>217</v>
      </c>
      <c r="I36" s="63">
        <f ca="1">+I33+I26</f>
        <v>6433.7791310343327</v>
      </c>
    </row>
    <row r="37" spans="2:9" ht="2.1" customHeight="1" x14ac:dyDescent="0.25"/>
    <row r="38" spans="2:9" ht="14.45" customHeight="1" x14ac:dyDescent="0.25"/>
    <row r="39" spans="2:9" x14ac:dyDescent="0.25">
      <c r="B39" s="104" t="s">
        <v>226</v>
      </c>
      <c r="C39" s="104"/>
      <c r="E39" s="97" t="s">
        <v>287</v>
      </c>
      <c r="F39" s="97"/>
      <c r="G39" s="97"/>
      <c r="H39" s="97"/>
      <c r="I39" s="97"/>
    </row>
    <row r="40" spans="2:9" ht="2.1" customHeight="1" x14ac:dyDescent="0.25">
      <c r="B40" s="108"/>
      <c r="C40" s="108"/>
    </row>
    <row r="41" spans="2:9" x14ac:dyDescent="0.25">
      <c r="B41" t="s">
        <v>217</v>
      </c>
      <c r="C41" s="150">
        <f ca="1">+I43</f>
        <v>6071.6362769035104</v>
      </c>
      <c r="E41" s="15" t="s">
        <v>288</v>
      </c>
      <c r="I41" s="23">
        <v>0.5</v>
      </c>
    </row>
    <row r="42" spans="2:9" x14ac:dyDescent="0.25">
      <c r="B42" s="135" t="s">
        <v>228</v>
      </c>
      <c r="C42" s="73">
        <f>+DCF!C56</f>
        <v>-2073.8000000000002</v>
      </c>
      <c r="E42" s="15" t="s">
        <v>289</v>
      </c>
      <c r="I42" s="23">
        <v>0.5</v>
      </c>
    </row>
    <row r="43" spans="2:9" x14ac:dyDescent="0.25">
      <c r="B43" s="135" t="s">
        <v>229</v>
      </c>
      <c r="C43" s="73">
        <f>+DCF!C57</f>
        <v>764.4</v>
      </c>
      <c r="E43" s="5" t="s">
        <v>287</v>
      </c>
      <c r="I43" s="63">
        <f ca="1">+I41*I36+I42*C36</f>
        <v>6071.6362769035104</v>
      </c>
    </row>
    <row r="44" spans="2:9" ht="2.1" customHeight="1" x14ac:dyDescent="0.25">
      <c r="B44" s="108"/>
      <c r="C44" s="108"/>
    </row>
    <row r="45" spans="2:9" x14ac:dyDescent="0.25">
      <c r="B45" s="5" t="s">
        <v>230</v>
      </c>
      <c r="C45" s="151">
        <f ca="1">+SUM(C41:C43)</f>
        <v>4762.2362769035099</v>
      </c>
    </row>
    <row r="46" spans="2:9" x14ac:dyDescent="0.25">
      <c r="B46" s="135" t="s">
        <v>231</v>
      </c>
      <c r="C46" s="28">
        <v>130.69999999999999</v>
      </c>
      <c r="D46" t="s">
        <v>454</v>
      </c>
    </row>
    <row r="47" spans="2:9" ht="2.1" customHeight="1" x14ac:dyDescent="0.25">
      <c r="B47" s="108"/>
      <c r="C47" s="108"/>
    </row>
    <row r="48" spans="2:9" x14ac:dyDescent="0.25">
      <c r="B48" s="5" t="s">
        <v>232</v>
      </c>
      <c r="C48" s="193">
        <f ca="1">+C45/C46</f>
        <v>36.436390794977122</v>
      </c>
    </row>
    <row r="49" spans="2:4" x14ac:dyDescent="0.25">
      <c r="B49" t="s">
        <v>282</v>
      </c>
      <c r="C49" s="422">
        <v>37.06</v>
      </c>
      <c r="D49" s="192">
        <v>45311</v>
      </c>
    </row>
  </sheetData>
  <mergeCells count="2">
    <mergeCell ref="K27:M28"/>
    <mergeCell ref="N27:N28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408AC-8BC8-384F-B960-BA19FCDC4521}">
  <dimension ref="A1:N65"/>
  <sheetViews>
    <sheetView showGridLines="0" workbookViewId="0">
      <selection activeCell="A4" sqref="A4"/>
    </sheetView>
  </sheetViews>
  <sheetFormatPr defaultColWidth="10.85546875" defaultRowHeight="15" x14ac:dyDescent="0.25"/>
  <cols>
    <col min="1" max="1" width="2.5703125" customWidth="1"/>
    <col min="2" max="2" width="44" customWidth="1"/>
    <col min="3" max="3" width="10.5703125" customWidth="1"/>
    <col min="4" max="4" width="23.42578125" customWidth="1"/>
    <col min="5" max="5" width="20.140625" customWidth="1"/>
    <col min="6" max="6" width="25.42578125" customWidth="1"/>
    <col min="7" max="7" width="20.140625" customWidth="1"/>
    <col min="8" max="8" width="23.42578125" customWidth="1"/>
    <col min="9" max="9" width="16.42578125" customWidth="1"/>
    <col min="10" max="10" width="18.42578125" customWidth="1"/>
    <col min="11" max="11" width="16.5703125" customWidth="1"/>
    <col min="12" max="12" width="24.140625" customWidth="1"/>
    <col min="13" max="13" width="21.85546875" customWidth="1"/>
    <col min="14" max="14" width="18.42578125" customWidth="1"/>
  </cols>
  <sheetData>
    <row r="1" spans="1:11" ht="2.1" customHeight="1" x14ac:dyDescent="0.25"/>
    <row r="2" spans="1:11" ht="14.45" customHeight="1" x14ac:dyDescent="0.25">
      <c r="A2" t="s">
        <v>108</v>
      </c>
      <c r="B2" s="301" t="s">
        <v>303</v>
      </c>
    </row>
    <row r="3" spans="1:11" x14ac:dyDescent="0.25">
      <c r="B3" s="5" t="s">
        <v>245</v>
      </c>
    </row>
    <row r="4" spans="1:11" x14ac:dyDescent="0.25">
      <c r="A4" t="s">
        <v>108</v>
      </c>
      <c r="B4" t="s">
        <v>251</v>
      </c>
    </row>
    <row r="5" spans="1:11" ht="36" customHeight="1" x14ac:dyDescent="0.25">
      <c r="B5" s="178" t="s">
        <v>237</v>
      </c>
      <c r="C5" s="178" t="s">
        <v>236</v>
      </c>
      <c r="D5" s="178" t="s">
        <v>238</v>
      </c>
      <c r="E5" s="178" t="s">
        <v>217</v>
      </c>
      <c r="F5" s="178" t="s">
        <v>239</v>
      </c>
      <c r="G5" s="178" t="s">
        <v>240</v>
      </c>
      <c r="H5" s="178" t="s">
        <v>241</v>
      </c>
      <c r="I5" s="178" t="s">
        <v>242</v>
      </c>
      <c r="J5" s="178" t="s">
        <v>243</v>
      </c>
      <c r="K5" s="178" t="s">
        <v>244</v>
      </c>
    </row>
    <row r="6" spans="1:11" x14ac:dyDescent="0.25">
      <c r="B6" s="70" t="s">
        <v>250</v>
      </c>
      <c r="C6" s="70" t="s">
        <v>249</v>
      </c>
      <c r="D6" s="233">
        <v>2246.1999999999998</v>
      </c>
      <c r="E6" s="233">
        <v>6233.2</v>
      </c>
      <c r="F6" s="225">
        <v>3.55</v>
      </c>
      <c r="G6" s="225">
        <v>3.11</v>
      </c>
      <c r="H6" s="225">
        <v>11.95</v>
      </c>
      <c r="I6" s="225">
        <v>12.7</v>
      </c>
      <c r="J6" s="225">
        <v>80</v>
      </c>
      <c r="K6" s="225">
        <v>18.23</v>
      </c>
    </row>
    <row r="7" spans="1:11" x14ac:dyDescent="0.25">
      <c r="B7" s="70" t="s">
        <v>269</v>
      </c>
      <c r="C7" s="70" t="s">
        <v>270</v>
      </c>
      <c r="D7" s="240">
        <v>2613.1</v>
      </c>
      <c r="E7" s="240">
        <v>4243.2</v>
      </c>
      <c r="F7" s="225">
        <v>4.7</v>
      </c>
      <c r="G7" s="225">
        <v>4.32</v>
      </c>
      <c r="H7" s="225">
        <v>11.78</v>
      </c>
      <c r="I7" s="225">
        <v>13.95</v>
      </c>
      <c r="J7" s="225">
        <v>26.66</v>
      </c>
      <c r="K7" s="225">
        <v>23.57</v>
      </c>
    </row>
    <row r="8" spans="1:11" x14ac:dyDescent="0.25">
      <c r="B8" s="70" t="s">
        <v>304</v>
      </c>
      <c r="C8" s="70" t="s">
        <v>305</v>
      </c>
      <c r="D8" s="240">
        <v>880.8</v>
      </c>
      <c r="E8" s="240">
        <v>1458.6</v>
      </c>
      <c r="F8" s="225">
        <v>1.42</v>
      </c>
      <c r="G8" s="225">
        <v>1.38</v>
      </c>
      <c r="H8" s="225">
        <v>9.35</v>
      </c>
      <c r="I8" s="225">
        <v>10.5</v>
      </c>
      <c r="J8" s="225">
        <v>31.25</v>
      </c>
      <c r="K8" s="225">
        <v>22.82</v>
      </c>
    </row>
    <row r="9" spans="1:11" x14ac:dyDescent="0.25">
      <c r="B9" s="70" t="s">
        <v>248</v>
      </c>
      <c r="C9" s="70" t="s">
        <v>306</v>
      </c>
      <c r="D9" s="240">
        <v>4408.8999999999996</v>
      </c>
      <c r="E9" s="240">
        <v>5457.8</v>
      </c>
      <c r="F9" s="225">
        <v>1.84</v>
      </c>
      <c r="G9" s="225">
        <v>1.61</v>
      </c>
      <c r="H9" s="225">
        <v>16.34</v>
      </c>
      <c r="I9" s="225">
        <v>12.49</v>
      </c>
      <c r="J9" s="225">
        <v>71.39</v>
      </c>
      <c r="K9" s="225">
        <v>37.020000000000003</v>
      </c>
    </row>
    <row r="10" spans="1:11" x14ac:dyDescent="0.25">
      <c r="B10" s="70"/>
      <c r="C10" s="70"/>
      <c r="D10" s="70"/>
      <c r="E10" s="70"/>
      <c r="F10" s="70"/>
      <c r="G10" s="225"/>
      <c r="H10" s="225"/>
      <c r="I10" s="225"/>
      <c r="J10" s="225"/>
      <c r="K10" s="225"/>
    </row>
    <row r="11" spans="1:11" x14ac:dyDescent="0.25">
      <c r="B11" s="179" t="s">
        <v>252</v>
      </c>
      <c r="C11" s="179" t="s">
        <v>307</v>
      </c>
      <c r="D11" s="179">
        <v>4628.8</v>
      </c>
      <c r="E11" s="179">
        <v>5938.2</v>
      </c>
      <c r="F11" s="226">
        <v>5.04</v>
      </c>
      <c r="G11" s="226">
        <v>4.37</v>
      </c>
      <c r="H11" s="226">
        <v>21.62</v>
      </c>
      <c r="I11" s="226">
        <v>16.399999999999999</v>
      </c>
      <c r="J11" s="226">
        <v>50.47</v>
      </c>
      <c r="K11" s="226">
        <v>25.83</v>
      </c>
    </row>
    <row r="13" spans="1:11" x14ac:dyDescent="0.25">
      <c r="C13" s="173" t="s">
        <v>253</v>
      </c>
      <c r="D13" s="174">
        <f>MIN(D6:D9)</f>
        <v>880.8</v>
      </c>
      <c r="E13" s="174">
        <f t="shared" ref="E13:K13" si="0">MIN(E6:E9)</f>
        <v>1458.6</v>
      </c>
      <c r="F13" s="227">
        <f t="shared" si="0"/>
        <v>1.42</v>
      </c>
      <c r="G13" s="227">
        <f t="shared" si="0"/>
        <v>1.38</v>
      </c>
      <c r="H13" s="227">
        <f t="shared" si="0"/>
        <v>9.35</v>
      </c>
      <c r="I13" s="227">
        <f t="shared" si="0"/>
        <v>10.5</v>
      </c>
      <c r="J13" s="227">
        <f t="shared" si="0"/>
        <v>26.66</v>
      </c>
      <c r="K13" s="230">
        <f t="shared" si="0"/>
        <v>18.23</v>
      </c>
    </row>
    <row r="14" spans="1:11" x14ac:dyDescent="0.25">
      <c r="C14" s="175" t="s">
        <v>254</v>
      </c>
      <c r="D14" s="172">
        <f>AVERAGE(D6:D9)</f>
        <v>2537.25</v>
      </c>
      <c r="E14" s="172">
        <f t="shared" ref="E14:K14" si="1">AVERAGE(E6:E9)</f>
        <v>4348.2</v>
      </c>
      <c r="F14" s="228">
        <f t="shared" si="1"/>
        <v>2.8774999999999999</v>
      </c>
      <c r="G14" s="228">
        <f t="shared" si="1"/>
        <v>2.6049999999999995</v>
      </c>
      <c r="H14" s="228">
        <f t="shared" si="1"/>
        <v>12.355</v>
      </c>
      <c r="I14" s="228">
        <f t="shared" si="1"/>
        <v>12.41</v>
      </c>
      <c r="J14" s="228">
        <f t="shared" si="1"/>
        <v>52.325000000000003</v>
      </c>
      <c r="K14" s="231">
        <f t="shared" si="1"/>
        <v>25.410000000000004</v>
      </c>
    </row>
    <row r="15" spans="1:11" x14ac:dyDescent="0.25">
      <c r="C15" s="175" t="s">
        <v>255</v>
      </c>
      <c r="D15" s="172">
        <f>MEDIAN(D6:D9)</f>
        <v>2429.6499999999996</v>
      </c>
      <c r="E15" s="172">
        <f t="shared" ref="E15:K15" si="2">MEDIAN(E6:E9)</f>
        <v>4850.5</v>
      </c>
      <c r="F15" s="228">
        <f t="shared" si="2"/>
        <v>2.6949999999999998</v>
      </c>
      <c r="G15" s="228">
        <f t="shared" si="2"/>
        <v>2.36</v>
      </c>
      <c r="H15" s="228">
        <f t="shared" si="2"/>
        <v>11.864999999999998</v>
      </c>
      <c r="I15" s="228">
        <f t="shared" si="2"/>
        <v>12.594999999999999</v>
      </c>
      <c r="J15" s="228">
        <f t="shared" si="2"/>
        <v>51.32</v>
      </c>
      <c r="K15" s="231">
        <f t="shared" si="2"/>
        <v>23.195</v>
      </c>
    </row>
    <row r="16" spans="1:11" x14ac:dyDescent="0.25">
      <c r="C16" s="176" t="s">
        <v>256</v>
      </c>
      <c r="D16" s="177">
        <f>MAX(D6:D9)</f>
        <v>4408.8999999999996</v>
      </c>
      <c r="E16" s="177">
        <f t="shared" ref="E16:K16" si="3">MAX(E6:E9)</f>
        <v>6233.2</v>
      </c>
      <c r="F16" s="229">
        <f t="shared" si="3"/>
        <v>4.7</v>
      </c>
      <c r="G16" s="229">
        <f t="shared" si="3"/>
        <v>4.32</v>
      </c>
      <c r="H16" s="229">
        <f t="shared" si="3"/>
        <v>16.34</v>
      </c>
      <c r="I16" s="229">
        <f t="shared" si="3"/>
        <v>13.95</v>
      </c>
      <c r="J16" s="229">
        <f t="shared" si="3"/>
        <v>80</v>
      </c>
      <c r="K16" s="232">
        <f t="shared" si="3"/>
        <v>37.020000000000003</v>
      </c>
    </row>
    <row r="19" spans="1:14" x14ac:dyDescent="0.25">
      <c r="A19" t="s">
        <v>108</v>
      </c>
      <c r="B19" t="s">
        <v>257</v>
      </c>
    </row>
    <row r="20" spans="1:14" ht="33.950000000000003" customHeight="1" x14ac:dyDescent="0.25">
      <c r="B20" s="178" t="s">
        <v>237</v>
      </c>
      <c r="C20" s="178" t="s">
        <v>236</v>
      </c>
      <c r="D20" s="178" t="s">
        <v>262</v>
      </c>
      <c r="E20" s="178" t="s">
        <v>258</v>
      </c>
      <c r="F20" s="180" t="s">
        <v>259</v>
      </c>
      <c r="G20" s="180" t="s">
        <v>260</v>
      </c>
      <c r="H20" s="180" t="s">
        <v>261</v>
      </c>
      <c r="I20" s="178" t="s">
        <v>263</v>
      </c>
      <c r="J20" s="178" t="s">
        <v>264</v>
      </c>
      <c r="K20" s="178" t="s">
        <v>265</v>
      </c>
      <c r="L20" s="178" t="s">
        <v>266</v>
      </c>
      <c r="M20" s="178" t="s">
        <v>267</v>
      </c>
      <c r="N20" s="178" t="s">
        <v>268</v>
      </c>
    </row>
    <row r="21" spans="1:14" x14ac:dyDescent="0.25">
      <c r="B21" s="70" t="s">
        <v>250</v>
      </c>
      <c r="C21" s="70" t="s">
        <v>249</v>
      </c>
      <c r="D21" s="233">
        <v>2033.2</v>
      </c>
      <c r="E21" s="233">
        <v>2290</v>
      </c>
      <c r="F21" s="222">
        <v>0.38600000000000001</v>
      </c>
      <c r="G21" s="222">
        <v>0.215</v>
      </c>
      <c r="H21" s="243">
        <v>0.10150000000000001</v>
      </c>
      <c r="I21" s="174">
        <v>493.2</v>
      </c>
      <c r="J21" s="174">
        <v>486.3</v>
      </c>
      <c r="K21" s="174">
        <v>591.26</v>
      </c>
      <c r="L21" s="242">
        <v>0.24299999999999999</v>
      </c>
      <c r="M21" s="242">
        <v>0.21199999999999999</v>
      </c>
      <c r="N21" s="242">
        <v>0.2344</v>
      </c>
    </row>
    <row r="22" spans="1:14" x14ac:dyDescent="0.25">
      <c r="B22" s="70" t="s">
        <v>246</v>
      </c>
      <c r="C22" s="70" t="s">
        <v>270</v>
      </c>
      <c r="D22" s="240">
        <v>876.5</v>
      </c>
      <c r="E22" s="240">
        <v>911.3</v>
      </c>
      <c r="F22" s="222">
        <v>0.156</v>
      </c>
      <c r="G22" s="222">
        <v>6.8000000000000005E-2</v>
      </c>
      <c r="H22" s="243">
        <v>0.115</v>
      </c>
      <c r="I22" s="240">
        <v>249</v>
      </c>
      <c r="J22" s="240">
        <v>246.8</v>
      </c>
      <c r="K22" s="240">
        <v>313.67</v>
      </c>
      <c r="L22" s="242">
        <v>0.28399999999999997</v>
      </c>
      <c r="M22" s="242">
        <v>0.27100000000000002</v>
      </c>
      <c r="N22" s="242">
        <v>0.30869999999999997</v>
      </c>
    </row>
    <row r="23" spans="1:14" x14ac:dyDescent="0.25">
      <c r="B23" s="70" t="s">
        <v>247</v>
      </c>
      <c r="C23" s="70" t="s">
        <v>305</v>
      </c>
      <c r="D23" s="240">
        <v>1359.3</v>
      </c>
      <c r="E23" s="240">
        <v>1295.0999999999999</v>
      </c>
      <c r="F23" s="222">
        <v>0.20799999999999999</v>
      </c>
      <c r="G23" s="243">
        <v>-4.7E-2</v>
      </c>
      <c r="H23" s="243">
        <v>-1.2200000000000001E-2</v>
      </c>
      <c r="I23" s="240">
        <v>182.5</v>
      </c>
      <c r="J23" s="240">
        <v>147.30000000000001</v>
      </c>
      <c r="K23" s="240">
        <v>160.15</v>
      </c>
      <c r="L23" s="242">
        <v>0.13400000000000001</v>
      </c>
      <c r="M23" s="242">
        <v>0.114</v>
      </c>
      <c r="N23" s="242">
        <v>0.12230000000000001</v>
      </c>
    </row>
    <row r="24" spans="1:14" x14ac:dyDescent="0.25">
      <c r="B24" s="70" t="s">
        <v>248</v>
      </c>
      <c r="C24" s="70" t="s">
        <v>306</v>
      </c>
      <c r="D24" s="240">
        <v>2432.3000000000002</v>
      </c>
      <c r="E24" s="240">
        <v>2843.1</v>
      </c>
      <c r="F24" s="222">
        <v>0.29899999999999999</v>
      </c>
      <c r="G24" s="222">
        <v>0.23</v>
      </c>
      <c r="H24" s="243">
        <v>0.1704</v>
      </c>
      <c r="I24" s="240">
        <v>159.80000000000001</v>
      </c>
      <c r="J24" s="240">
        <v>229</v>
      </c>
      <c r="K24" s="240">
        <v>446.35</v>
      </c>
      <c r="L24" s="242">
        <v>6.6000000000000003E-2</v>
      </c>
      <c r="M24" s="242">
        <v>8.1000000000000003E-2</v>
      </c>
      <c r="N24" s="242">
        <v>0.13400000000000001</v>
      </c>
    </row>
    <row r="25" spans="1:14" x14ac:dyDescent="0.25">
      <c r="B25" s="70"/>
      <c r="C25" s="70"/>
      <c r="D25" s="70"/>
      <c r="E25" s="70"/>
      <c r="F25" s="70"/>
      <c r="G25" s="70"/>
      <c r="H25" s="70"/>
      <c r="I25" s="70"/>
      <c r="J25" s="70"/>
      <c r="K25" s="70"/>
    </row>
    <row r="26" spans="1:14" x14ac:dyDescent="0.25">
      <c r="B26" s="179" t="s">
        <v>252</v>
      </c>
      <c r="C26" s="179" t="s">
        <v>307</v>
      </c>
      <c r="D26" s="179">
        <v>1236.0999999999999</v>
      </c>
      <c r="E26" s="179">
        <v>1443.5</v>
      </c>
      <c r="F26" s="223">
        <v>0.192</v>
      </c>
      <c r="G26" s="223">
        <v>0.16800000000000001</v>
      </c>
      <c r="H26" s="223">
        <v>0.13830000000000001</v>
      </c>
      <c r="I26" s="179">
        <v>284.8</v>
      </c>
      <c r="J26" s="179">
        <v>363.6</v>
      </c>
      <c r="K26" s="179">
        <v>443</v>
      </c>
      <c r="L26" s="224">
        <v>0.23</v>
      </c>
      <c r="M26" s="224">
        <v>0.252</v>
      </c>
      <c r="N26" s="224">
        <v>0.26960000000000001</v>
      </c>
    </row>
    <row r="28" spans="1:14" x14ac:dyDescent="0.25">
      <c r="C28" s="173" t="s">
        <v>253</v>
      </c>
      <c r="D28" s="174">
        <f>MIN(D21:D24)</f>
        <v>876.5</v>
      </c>
      <c r="E28" s="174">
        <f t="shared" ref="E28:N28" si="4">MIN(E21:E24)</f>
        <v>911.3</v>
      </c>
      <c r="F28" s="300">
        <f t="shared" si="4"/>
        <v>0.156</v>
      </c>
      <c r="G28" s="300">
        <f t="shared" si="4"/>
        <v>-4.7E-2</v>
      </c>
      <c r="H28" s="300">
        <f t="shared" si="4"/>
        <v>-1.2200000000000001E-2</v>
      </c>
      <c r="I28" s="174">
        <f t="shared" si="4"/>
        <v>159.80000000000001</v>
      </c>
      <c r="J28" s="174">
        <f t="shared" si="4"/>
        <v>147.30000000000001</v>
      </c>
      <c r="K28" s="174">
        <f t="shared" si="4"/>
        <v>160.15</v>
      </c>
      <c r="L28" s="234">
        <f t="shared" si="4"/>
        <v>6.6000000000000003E-2</v>
      </c>
      <c r="M28" s="234">
        <f t="shared" si="4"/>
        <v>8.1000000000000003E-2</v>
      </c>
      <c r="N28" s="237">
        <f t="shared" si="4"/>
        <v>0.12230000000000001</v>
      </c>
    </row>
    <row r="29" spans="1:14" x14ac:dyDescent="0.25">
      <c r="C29" s="175" t="s">
        <v>254</v>
      </c>
      <c r="D29" s="172">
        <f>AVERAGE(D21:D24)</f>
        <v>1675.325</v>
      </c>
      <c r="E29" s="172">
        <f t="shared" ref="E29:N29" si="5">AVERAGE(E21:E24)</f>
        <v>1834.875</v>
      </c>
      <c r="F29" s="298">
        <f t="shared" si="5"/>
        <v>0.26224999999999998</v>
      </c>
      <c r="G29" s="298">
        <f t="shared" si="5"/>
        <v>0.11650000000000002</v>
      </c>
      <c r="H29" s="298">
        <f t="shared" si="5"/>
        <v>9.3675000000000008E-2</v>
      </c>
      <c r="I29" s="172">
        <f t="shared" si="5"/>
        <v>271.125</v>
      </c>
      <c r="J29" s="172">
        <f t="shared" si="5"/>
        <v>277.35000000000002</v>
      </c>
      <c r="K29" s="172">
        <f t="shared" si="5"/>
        <v>377.85750000000007</v>
      </c>
      <c r="L29" s="235">
        <f t="shared" si="5"/>
        <v>0.18174999999999997</v>
      </c>
      <c r="M29" s="235">
        <f t="shared" si="5"/>
        <v>0.16949999999999998</v>
      </c>
      <c r="N29" s="238">
        <f t="shared" si="5"/>
        <v>0.19984999999999997</v>
      </c>
    </row>
    <row r="30" spans="1:14" x14ac:dyDescent="0.25">
      <c r="C30" s="175" t="s">
        <v>255</v>
      </c>
      <c r="D30" s="172">
        <f>MEDIAN(D21:D24)</f>
        <v>1696.25</v>
      </c>
      <c r="E30" s="172">
        <f t="shared" ref="E30:N30" si="6">MEDIAN(E21:E24)</f>
        <v>1792.55</v>
      </c>
      <c r="F30" s="298">
        <f t="shared" si="6"/>
        <v>0.2535</v>
      </c>
      <c r="G30" s="298">
        <f t="shared" si="6"/>
        <v>0.14150000000000001</v>
      </c>
      <c r="H30" s="298">
        <f t="shared" si="6"/>
        <v>0.10825000000000001</v>
      </c>
      <c r="I30" s="172">
        <f t="shared" si="6"/>
        <v>215.75</v>
      </c>
      <c r="J30" s="172">
        <f t="shared" si="6"/>
        <v>237.9</v>
      </c>
      <c r="K30" s="172">
        <f t="shared" si="6"/>
        <v>380.01</v>
      </c>
      <c r="L30" s="235">
        <f t="shared" si="6"/>
        <v>0.1885</v>
      </c>
      <c r="M30" s="235">
        <f t="shared" si="6"/>
        <v>0.16300000000000001</v>
      </c>
      <c r="N30" s="238">
        <f t="shared" si="6"/>
        <v>0.1842</v>
      </c>
    </row>
    <row r="31" spans="1:14" x14ac:dyDescent="0.25">
      <c r="C31" s="176" t="s">
        <v>256</v>
      </c>
      <c r="D31" s="177">
        <f>MAX(D21:D24)</f>
        <v>2432.3000000000002</v>
      </c>
      <c r="E31" s="177">
        <f t="shared" ref="E31:N31" si="7">MAX(E21:E24)</f>
        <v>2843.1</v>
      </c>
      <c r="F31" s="299">
        <f t="shared" si="7"/>
        <v>0.38600000000000001</v>
      </c>
      <c r="G31" s="299">
        <f t="shared" si="7"/>
        <v>0.23</v>
      </c>
      <c r="H31" s="299">
        <f t="shared" si="7"/>
        <v>0.1704</v>
      </c>
      <c r="I31" s="177">
        <f t="shared" si="7"/>
        <v>493.2</v>
      </c>
      <c r="J31" s="177">
        <f t="shared" si="7"/>
        <v>486.3</v>
      </c>
      <c r="K31" s="177">
        <f t="shared" si="7"/>
        <v>591.26</v>
      </c>
      <c r="L31" s="236">
        <f t="shared" si="7"/>
        <v>0.28399999999999997</v>
      </c>
      <c r="M31" s="236">
        <f t="shared" si="7"/>
        <v>0.27100000000000002</v>
      </c>
      <c r="N31" s="239">
        <f t="shared" si="7"/>
        <v>0.30869999999999997</v>
      </c>
    </row>
    <row r="35" spans="1:11" x14ac:dyDescent="0.25">
      <c r="B35" s="5" t="s">
        <v>308</v>
      </c>
    </row>
    <row r="36" spans="1:11" x14ac:dyDescent="0.25">
      <c r="A36" t="s">
        <v>108</v>
      </c>
      <c r="B36" t="s">
        <v>251</v>
      </c>
    </row>
    <row r="37" spans="1:11" ht="30" customHeight="1" x14ac:dyDescent="0.25">
      <c r="B37" s="178" t="s">
        <v>237</v>
      </c>
      <c r="C37" s="178" t="s">
        <v>236</v>
      </c>
      <c r="D37" s="178" t="s">
        <v>238</v>
      </c>
      <c r="E37" s="178" t="s">
        <v>217</v>
      </c>
      <c r="F37" s="178" t="s">
        <v>239</v>
      </c>
      <c r="G37" s="178" t="s">
        <v>240</v>
      </c>
      <c r="H37" s="178" t="s">
        <v>241</v>
      </c>
      <c r="I37" s="178" t="s">
        <v>242</v>
      </c>
      <c r="J37" s="178" t="s">
        <v>243</v>
      </c>
      <c r="K37" s="178" t="s">
        <v>244</v>
      </c>
    </row>
    <row r="38" spans="1:11" x14ac:dyDescent="0.25">
      <c r="B38" s="70" t="s">
        <v>310</v>
      </c>
      <c r="C38" s="70" t="s">
        <v>309</v>
      </c>
      <c r="D38" s="174">
        <v>7306.4</v>
      </c>
      <c r="E38" s="174">
        <v>7956.4</v>
      </c>
      <c r="F38" s="225">
        <v>15.83</v>
      </c>
      <c r="G38" s="225">
        <v>13.8</v>
      </c>
      <c r="H38" s="225">
        <v>53.21</v>
      </c>
      <c r="I38" s="225">
        <v>44.39</v>
      </c>
      <c r="J38" s="225">
        <v>96.74</v>
      </c>
      <c r="K38" s="225">
        <v>85.66</v>
      </c>
    </row>
    <row r="39" spans="1:11" x14ac:dyDescent="0.25">
      <c r="B39" s="70" t="s">
        <v>311</v>
      </c>
      <c r="C39" s="70" t="s">
        <v>312</v>
      </c>
      <c r="D39" s="172">
        <v>11379.5</v>
      </c>
      <c r="E39" s="172">
        <v>12965.6</v>
      </c>
      <c r="F39" s="225">
        <v>2.71</v>
      </c>
      <c r="G39" s="225">
        <v>2.4700000000000002</v>
      </c>
      <c r="H39" s="225">
        <v>14.73</v>
      </c>
      <c r="I39" s="225">
        <v>19.100000000000001</v>
      </c>
      <c r="J39" s="225">
        <v>35.130000000000003</v>
      </c>
      <c r="K39" s="225">
        <v>36.479999999999997</v>
      </c>
    </row>
    <row r="40" spans="1:11" x14ac:dyDescent="0.25">
      <c r="B40" s="70" t="s">
        <v>313</v>
      </c>
      <c r="C40" s="70" t="s">
        <v>314</v>
      </c>
      <c r="D40" s="172">
        <v>62020.2</v>
      </c>
      <c r="E40" s="172">
        <v>62097.2</v>
      </c>
      <c r="F40" s="225">
        <v>5.72</v>
      </c>
      <c r="G40" s="225">
        <v>4.96</v>
      </c>
      <c r="H40" s="225">
        <v>19.89</v>
      </c>
      <c r="I40" s="225">
        <v>19.13</v>
      </c>
      <c r="J40" s="225">
        <v>48.41</v>
      </c>
      <c r="K40" s="225">
        <v>31.11</v>
      </c>
    </row>
    <row r="41" spans="1:11" x14ac:dyDescent="0.25">
      <c r="B41" s="70" t="s">
        <v>315</v>
      </c>
      <c r="C41" s="70" t="s">
        <v>316</v>
      </c>
      <c r="D41" s="172">
        <v>6307.1</v>
      </c>
      <c r="E41" s="172">
        <v>8272.6</v>
      </c>
      <c r="F41" s="225">
        <v>8.5500000000000007</v>
      </c>
      <c r="G41" s="225">
        <v>7.14</v>
      </c>
      <c r="H41" s="225">
        <v>17.13</v>
      </c>
      <c r="I41" s="225">
        <v>17.54</v>
      </c>
      <c r="J41" s="225">
        <v>56.08</v>
      </c>
      <c r="K41" s="225">
        <v>30.72</v>
      </c>
    </row>
    <row r="42" spans="1:11" x14ac:dyDescent="0.25">
      <c r="B42" s="70"/>
      <c r="C42" s="70"/>
      <c r="D42" s="70"/>
      <c r="E42" s="70"/>
      <c r="F42" s="70"/>
      <c r="G42" s="225"/>
      <c r="H42" s="225"/>
      <c r="I42" s="225"/>
      <c r="J42" s="225"/>
      <c r="K42" s="225"/>
    </row>
    <row r="43" spans="1:11" x14ac:dyDescent="0.25">
      <c r="B43" s="179" t="s">
        <v>252</v>
      </c>
      <c r="C43" s="179" t="s">
        <v>307</v>
      </c>
      <c r="D43" s="179">
        <v>4628.8</v>
      </c>
      <c r="E43" s="179">
        <v>5938.2</v>
      </c>
      <c r="F43" s="226">
        <v>5.04</v>
      </c>
      <c r="G43" s="226">
        <v>4.37</v>
      </c>
      <c r="H43" s="226">
        <v>21.62</v>
      </c>
      <c r="I43" s="226">
        <v>16.399999999999999</v>
      </c>
      <c r="J43" s="226">
        <v>50.47</v>
      </c>
      <c r="K43" s="226">
        <v>25.83</v>
      </c>
    </row>
    <row r="45" spans="1:11" x14ac:dyDescent="0.25">
      <c r="C45" s="173" t="s">
        <v>253</v>
      </c>
      <c r="D45" s="174">
        <f>MIN(D38:D41)</f>
        <v>6307.1</v>
      </c>
      <c r="E45" s="174">
        <f t="shared" ref="E45:K45" si="8">MIN(E38:E41)</f>
        <v>7956.4</v>
      </c>
      <c r="F45" s="227">
        <f t="shared" si="8"/>
        <v>2.71</v>
      </c>
      <c r="G45" s="227">
        <f t="shared" si="8"/>
        <v>2.4700000000000002</v>
      </c>
      <c r="H45" s="227">
        <f t="shared" si="8"/>
        <v>14.73</v>
      </c>
      <c r="I45" s="227">
        <f t="shared" si="8"/>
        <v>17.54</v>
      </c>
      <c r="J45" s="227">
        <f t="shared" si="8"/>
        <v>35.130000000000003</v>
      </c>
      <c r="K45" s="230">
        <f t="shared" si="8"/>
        <v>30.72</v>
      </c>
    </row>
    <row r="46" spans="1:11" x14ac:dyDescent="0.25">
      <c r="C46" s="175" t="s">
        <v>254</v>
      </c>
      <c r="D46" s="172">
        <f>AVERAGE(D38:D41)</f>
        <v>21753.300000000003</v>
      </c>
      <c r="E46" s="172">
        <f t="shared" ref="E46:K46" si="9">AVERAGE(E38:E41)</f>
        <v>22822.95</v>
      </c>
      <c r="F46" s="228">
        <f t="shared" si="9"/>
        <v>8.2025000000000006</v>
      </c>
      <c r="G46" s="228">
        <f t="shared" si="9"/>
        <v>7.0925000000000002</v>
      </c>
      <c r="H46" s="228">
        <f t="shared" si="9"/>
        <v>26.24</v>
      </c>
      <c r="I46" s="228">
        <f t="shared" si="9"/>
        <v>25.04</v>
      </c>
      <c r="J46" s="228">
        <f t="shared" si="9"/>
        <v>59.09</v>
      </c>
      <c r="K46" s="231">
        <f t="shared" si="9"/>
        <v>45.9925</v>
      </c>
    </row>
    <row r="47" spans="1:11" x14ac:dyDescent="0.25">
      <c r="C47" s="175" t="s">
        <v>255</v>
      </c>
      <c r="D47" s="172">
        <f>MEDIAN(D38:D41)</f>
        <v>9342.9500000000007</v>
      </c>
      <c r="E47" s="172">
        <f t="shared" ref="E47:K47" si="10">MEDIAN(E38:E41)</f>
        <v>10619.1</v>
      </c>
      <c r="F47" s="228">
        <f t="shared" si="10"/>
        <v>7.1349999999999998</v>
      </c>
      <c r="G47" s="228">
        <f t="shared" si="10"/>
        <v>6.05</v>
      </c>
      <c r="H47" s="228">
        <f t="shared" si="10"/>
        <v>18.509999999999998</v>
      </c>
      <c r="I47" s="228">
        <f t="shared" si="10"/>
        <v>19.115000000000002</v>
      </c>
      <c r="J47" s="228">
        <f t="shared" si="10"/>
        <v>52.244999999999997</v>
      </c>
      <c r="K47" s="231">
        <f t="shared" si="10"/>
        <v>33.795000000000002</v>
      </c>
    </row>
    <row r="48" spans="1:11" x14ac:dyDescent="0.25">
      <c r="C48" s="176" t="s">
        <v>256</v>
      </c>
      <c r="D48" s="177">
        <f>MAX(D38:D41)</f>
        <v>62020.2</v>
      </c>
      <c r="E48" s="177">
        <f t="shared" ref="E48:K48" si="11">MAX(E38:E41)</f>
        <v>62097.2</v>
      </c>
      <c r="F48" s="229">
        <f t="shared" si="11"/>
        <v>15.83</v>
      </c>
      <c r="G48" s="229">
        <f t="shared" si="11"/>
        <v>13.8</v>
      </c>
      <c r="H48" s="229">
        <f t="shared" si="11"/>
        <v>53.21</v>
      </c>
      <c r="I48" s="229">
        <f t="shared" si="11"/>
        <v>44.39</v>
      </c>
      <c r="J48" s="229">
        <f t="shared" si="11"/>
        <v>96.74</v>
      </c>
      <c r="K48" s="232">
        <f t="shared" si="11"/>
        <v>85.66</v>
      </c>
    </row>
    <row r="51" spans="1:14" x14ac:dyDescent="0.25">
      <c r="A51" t="s">
        <v>108</v>
      </c>
      <c r="B51" t="s">
        <v>257</v>
      </c>
    </row>
    <row r="52" spans="1:14" ht="30.95" customHeight="1" x14ac:dyDescent="0.25">
      <c r="B52" s="178" t="s">
        <v>237</v>
      </c>
      <c r="C52" s="178" t="s">
        <v>236</v>
      </c>
      <c r="D52" s="178" t="s">
        <v>262</v>
      </c>
      <c r="E52" s="178" t="s">
        <v>258</v>
      </c>
      <c r="F52" s="180" t="s">
        <v>259</v>
      </c>
      <c r="G52" s="180" t="s">
        <v>260</v>
      </c>
      <c r="H52" s="180" t="s">
        <v>261</v>
      </c>
      <c r="I52" s="178" t="s">
        <v>263</v>
      </c>
      <c r="J52" s="178" t="s">
        <v>264</v>
      </c>
      <c r="K52" s="178" t="s">
        <v>265</v>
      </c>
      <c r="L52" s="178" t="s">
        <v>266</v>
      </c>
      <c r="M52" s="178" t="s">
        <v>267</v>
      </c>
      <c r="N52" s="178" t="s">
        <v>268</v>
      </c>
    </row>
    <row r="53" spans="1:14" x14ac:dyDescent="0.25">
      <c r="B53" s="70" t="s">
        <v>310</v>
      </c>
      <c r="C53" s="70" t="s">
        <v>309</v>
      </c>
      <c r="D53" s="174">
        <v>6256.6</v>
      </c>
      <c r="E53" s="233">
        <v>9186</v>
      </c>
      <c r="F53" s="241">
        <v>0.42099999999999999</v>
      </c>
      <c r="G53" s="241">
        <v>0.34899999999999998</v>
      </c>
      <c r="H53" s="241">
        <v>0.19789999999999999</v>
      </c>
      <c r="I53" s="174">
        <v>104</v>
      </c>
      <c r="J53" s="174">
        <v>129.5</v>
      </c>
      <c r="K53" s="174">
        <v>165.82</v>
      </c>
      <c r="L53" s="242">
        <v>0.29099999999999998</v>
      </c>
      <c r="M53" s="242">
        <v>0.29599999999999999</v>
      </c>
      <c r="N53" s="242">
        <v>0.31609999999999999</v>
      </c>
    </row>
    <row r="54" spans="1:14" x14ac:dyDescent="0.25">
      <c r="B54" s="70" t="s">
        <v>311</v>
      </c>
      <c r="C54" s="70" t="s">
        <v>312</v>
      </c>
      <c r="D54" s="172">
        <v>4264.5</v>
      </c>
      <c r="E54" s="172">
        <v>4413.8</v>
      </c>
      <c r="F54" s="241">
        <v>0.24199999999999999</v>
      </c>
      <c r="G54" s="241">
        <v>6.9000000000000006E-2</v>
      </c>
      <c r="H54" s="241">
        <v>7.3300000000000004E-2</v>
      </c>
      <c r="I54" s="240">
        <v>554.29999999999995</v>
      </c>
      <c r="J54" s="240">
        <v>563.5</v>
      </c>
      <c r="K54" s="240">
        <v>577.54</v>
      </c>
      <c r="L54" s="242">
        <v>0.13</v>
      </c>
      <c r="M54" s="242">
        <v>0.128</v>
      </c>
      <c r="N54" s="242">
        <v>0.12189999999999999</v>
      </c>
    </row>
    <row r="55" spans="1:14" x14ac:dyDescent="0.25">
      <c r="B55" s="70" t="s">
        <v>313</v>
      </c>
      <c r="C55" s="70" t="s">
        <v>314</v>
      </c>
      <c r="D55" s="172">
        <v>1359.3</v>
      </c>
      <c r="E55" s="172">
        <v>1295.0999999999999</v>
      </c>
      <c r="F55" s="241">
        <v>0.20799999999999999</v>
      </c>
      <c r="G55" s="241">
        <v>0.23</v>
      </c>
      <c r="H55" s="241">
        <v>0.1842</v>
      </c>
      <c r="I55" s="240">
        <v>1599</v>
      </c>
      <c r="J55" s="240">
        <v>2395.6</v>
      </c>
      <c r="K55" s="240">
        <v>2558.69</v>
      </c>
      <c r="L55" s="242">
        <v>0.25600000000000001</v>
      </c>
      <c r="M55" s="242">
        <v>0.26100000000000001</v>
      </c>
      <c r="N55" s="242">
        <v>0.26640000000000003</v>
      </c>
    </row>
    <row r="56" spans="1:14" x14ac:dyDescent="0.25">
      <c r="B56" s="70" t="s">
        <v>315</v>
      </c>
      <c r="C56" s="70" t="s">
        <v>316</v>
      </c>
      <c r="D56" s="172">
        <v>878.7</v>
      </c>
      <c r="E56" s="172">
        <v>1000.2</v>
      </c>
      <c r="F56" s="241">
        <v>0.64300000000000002</v>
      </c>
      <c r="G56" s="241">
        <v>0.27900000000000003</v>
      </c>
      <c r="H56" s="241">
        <v>0.14940000000000001</v>
      </c>
      <c r="I56" s="240">
        <v>361.3</v>
      </c>
      <c r="J56" s="240">
        <v>424.3</v>
      </c>
      <c r="K56" s="240">
        <v>478.94</v>
      </c>
      <c r="L56" s="242">
        <v>0.41099999999999998</v>
      </c>
      <c r="M56" s="242">
        <v>0.42399999999999999</v>
      </c>
      <c r="N56" s="242">
        <v>0.41660000000000003</v>
      </c>
    </row>
    <row r="57" spans="1:14" x14ac:dyDescent="0.25"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58" spans="1:14" x14ac:dyDescent="0.25">
      <c r="B58" s="179" t="s">
        <v>252</v>
      </c>
      <c r="C58" s="179" t="s">
        <v>307</v>
      </c>
      <c r="D58" s="179">
        <v>1236.0999999999999</v>
      </c>
      <c r="E58" s="179">
        <v>1443.5</v>
      </c>
      <c r="F58" s="223">
        <v>0.192</v>
      </c>
      <c r="G58" s="223">
        <v>0.16800000000000001</v>
      </c>
      <c r="H58" s="223">
        <v>0.13830000000000001</v>
      </c>
      <c r="I58" s="245">
        <v>104</v>
      </c>
      <c r="J58" s="245">
        <v>104</v>
      </c>
      <c r="K58" s="245">
        <v>104</v>
      </c>
      <c r="L58" s="244">
        <v>0.23</v>
      </c>
      <c r="M58" s="244">
        <v>0.252</v>
      </c>
      <c r="N58" s="244">
        <v>0.26960000000000001</v>
      </c>
    </row>
    <row r="60" spans="1:14" x14ac:dyDescent="0.25">
      <c r="C60" s="173" t="s">
        <v>253</v>
      </c>
      <c r="D60" s="174">
        <f>MIN(D53:D56)</f>
        <v>878.7</v>
      </c>
      <c r="E60" s="174">
        <f t="shared" ref="E60:N60" si="12">MIN(E53:E56)</f>
        <v>1000.2</v>
      </c>
      <c r="F60" s="234">
        <f t="shared" si="12"/>
        <v>0.20799999999999999</v>
      </c>
      <c r="G60" s="234">
        <f t="shared" si="12"/>
        <v>6.9000000000000006E-2</v>
      </c>
      <c r="H60" s="234">
        <f t="shared" si="12"/>
        <v>7.3300000000000004E-2</v>
      </c>
      <c r="I60" s="174">
        <f t="shared" si="12"/>
        <v>104</v>
      </c>
      <c r="J60" s="174">
        <f t="shared" si="12"/>
        <v>129.5</v>
      </c>
      <c r="K60" s="174">
        <f t="shared" si="12"/>
        <v>165.82</v>
      </c>
      <c r="L60" s="234">
        <f t="shared" si="12"/>
        <v>0.13</v>
      </c>
      <c r="M60" s="234">
        <f t="shared" si="12"/>
        <v>0.128</v>
      </c>
      <c r="N60" s="237">
        <f t="shared" si="12"/>
        <v>0.12189999999999999</v>
      </c>
    </row>
    <row r="61" spans="1:14" x14ac:dyDescent="0.25">
      <c r="C61" s="175" t="s">
        <v>254</v>
      </c>
      <c r="D61" s="172">
        <f>AVERAGE(D53:D56)</f>
        <v>3189.7750000000001</v>
      </c>
      <c r="E61" s="172">
        <f t="shared" ref="E61:N61" si="13">AVERAGE(E53:E56)</f>
        <v>3973.7750000000001</v>
      </c>
      <c r="F61" s="235">
        <f t="shared" si="13"/>
        <v>0.3785</v>
      </c>
      <c r="G61" s="235">
        <f t="shared" si="13"/>
        <v>0.23175000000000001</v>
      </c>
      <c r="H61" s="235">
        <f t="shared" si="13"/>
        <v>0.1512</v>
      </c>
      <c r="I61" s="172">
        <f t="shared" si="13"/>
        <v>654.65000000000009</v>
      </c>
      <c r="J61" s="172">
        <f t="shared" si="13"/>
        <v>878.22500000000002</v>
      </c>
      <c r="K61" s="172">
        <f t="shared" si="13"/>
        <v>945.24750000000006</v>
      </c>
      <c r="L61" s="235">
        <f t="shared" si="13"/>
        <v>0.27200000000000002</v>
      </c>
      <c r="M61" s="235">
        <f t="shared" si="13"/>
        <v>0.27725</v>
      </c>
      <c r="N61" s="238">
        <f t="shared" si="13"/>
        <v>0.28025</v>
      </c>
    </row>
    <row r="62" spans="1:14" x14ac:dyDescent="0.25">
      <c r="C62" s="175" t="s">
        <v>255</v>
      </c>
      <c r="D62" s="172">
        <f>MEDIAN(D53:D56)</f>
        <v>2811.8999999999996</v>
      </c>
      <c r="E62" s="172">
        <f t="shared" ref="E62:N62" si="14">MEDIAN(E53:E56)</f>
        <v>2854.45</v>
      </c>
      <c r="F62" s="235">
        <f t="shared" si="14"/>
        <v>0.33150000000000002</v>
      </c>
      <c r="G62" s="235">
        <f t="shared" si="14"/>
        <v>0.2545</v>
      </c>
      <c r="H62" s="235">
        <f t="shared" si="14"/>
        <v>0.1668</v>
      </c>
      <c r="I62" s="172">
        <f t="shared" si="14"/>
        <v>457.79999999999995</v>
      </c>
      <c r="J62" s="172">
        <f t="shared" si="14"/>
        <v>493.9</v>
      </c>
      <c r="K62" s="172">
        <f t="shared" si="14"/>
        <v>528.24</v>
      </c>
      <c r="L62" s="235">
        <f t="shared" si="14"/>
        <v>0.27349999999999997</v>
      </c>
      <c r="M62" s="235">
        <f t="shared" si="14"/>
        <v>0.27849999999999997</v>
      </c>
      <c r="N62" s="238">
        <f t="shared" si="14"/>
        <v>0.29125000000000001</v>
      </c>
    </row>
    <row r="63" spans="1:14" x14ac:dyDescent="0.25">
      <c r="C63" s="176" t="s">
        <v>256</v>
      </c>
      <c r="D63" s="177">
        <f>MAX(D53:D56)</f>
        <v>6256.6</v>
      </c>
      <c r="E63" s="177">
        <f t="shared" ref="E63:N63" si="15">MAX(E53:E56)</f>
        <v>9186</v>
      </c>
      <c r="F63" s="236">
        <f t="shared" si="15"/>
        <v>0.64300000000000002</v>
      </c>
      <c r="G63" s="236">
        <f t="shared" si="15"/>
        <v>0.34899999999999998</v>
      </c>
      <c r="H63" s="236">
        <f t="shared" si="15"/>
        <v>0.19789999999999999</v>
      </c>
      <c r="I63" s="177">
        <f t="shared" si="15"/>
        <v>1599</v>
      </c>
      <c r="J63" s="177">
        <f t="shared" si="15"/>
        <v>2395.6</v>
      </c>
      <c r="K63" s="177">
        <f t="shared" si="15"/>
        <v>2558.69</v>
      </c>
      <c r="L63" s="236">
        <f t="shared" si="15"/>
        <v>0.41099999999999998</v>
      </c>
      <c r="M63" s="236">
        <f t="shared" si="15"/>
        <v>0.42399999999999999</v>
      </c>
      <c r="N63" s="239">
        <f t="shared" si="15"/>
        <v>0.41660000000000003</v>
      </c>
    </row>
    <row r="65" spans="2:2" x14ac:dyDescent="0.25">
      <c r="B65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70E97-1926-440E-B837-3C900E316F5B}">
  <sheetPr>
    <tabColor theme="4" tint="-0.499984740745262"/>
  </sheetPr>
  <dimension ref="A1"/>
  <sheetViews>
    <sheetView showGridLines="0" workbookViewId="0"/>
  </sheetViews>
  <sheetFormatPr defaultColWidth="8.5703125" defaultRowHeight="15" x14ac:dyDescent="0.25"/>
  <cols>
    <col min="1" max="16384" width="8.5703125" style="2"/>
  </cols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C2318-9E6C-4852-92DB-14528CF9BC27}">
  <dimension ref="A1:I71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2.5703125" style="117" customWidth="1"/>
    <col min="2" max="2" width="33" customWidth="1"/>
    <col min="3" max="3" width="14.85546875" customWidth="1"/>
    <col min="4" max="4" width="17.42578125" customWidth="1"/>
    <col min="5" max="5" width="16.85546875" customWidth="1"/>
    <col min="6" max="6" width="15" customWidth="1"/>
    <col min="7" max="7" width="14.140625" customWidth="1"/>
    <col min="8" max="8" width="16" customWidth="1"/>
  </cols>
  <sheetData>
    <row r="1" spans="1:9" ht="35.1" customHeight="1" x14ac:dyDescent="0.25">
      <c r="A1" s="120"/>
      <c r="B1" s="111" t="s">
        <v>87</v>
      </c>
      <c r="C1" s="112"/>
      <c r="D1" s="112"/>
      <c r="E1" s="113"/>
      <c r="F1" s="112"/>
      <c r="G1" s="112"/>
      <c r="H1" s="112"/>
    </row>
    <row r="2" spans="1:9" ht="23.1" customHeight="1" x14ac:dyDescent="0.25">
      <c r="A2" s="120"/>
      <c r="B2" s="114" t="s">
        <v>9</v>
      </c>
      <c r="C2" s="112"/>
      <c r="D2" s="112"/>
      <c r="E2" s="112"/>
      <c r="F2" s="112"/>
      <c r="G2" s="112"/>
      <c r="H2" s="112"/>
    </row>
    <row r="3" spans="1:9" x14ac:dyDescent="0.25">
      <c r="A3" s="120"/>
      <c r="B3" s="115"/>
      <c r="C3" s="116" t="s">
        <v>3</v>
      </c>
      <c r="D3" s="116" t="s">
        <v>4</v>
      </c>
      <c r="E3" s="116" t="s">
        <v>5</v>
      </c>
      <c r="F3" s="116" t="s">
        <v>6</v>
      </c>
      <c r="G3" s="116" t="s">
        <v>7</v>
      </c>
      <c r="H3" s="116" t="s">
        <v>8</v>
      </c>
    </row>
    <row r="4" spans="1:9" x14ac:dyDescent="0.25">
      <c r="A4" s="320"/>
      <c r="B4" s="324" t="s">
        <v>10</v>
      </c>
      <c r="C4" s="325"/>
      <c r="D4" s="325"/>
      <c r="E4" s="325"/>
      <c r="F4" s="325"/>
      <c r="G4" s="325"/>
      <c r="H4" s="325"/>
      <c r="I4" s="301"/>
    </row>
    <row r="5" spans="1:9" x14ac:dyDescent="0.25">
      <c r="A5" s="320"/>
      <c r="B5" s="325" t="s">
        <v>11</v>
      </c>
      <c r="C5" s="327">
        <v>2285</v>
      </c>
      <c r="D5" s="327">
        <v>2390</v>
      </c>
      <c r="E5" s="327">
        <v>727</v>
      </c>
      <c r="F5" s="327">
        <v>1037.2</v>
      </c>
      <c r="G5" s="327">
        <v>1236.0999999999999</v>
      </c>
      <c r="H5" s="327">
        <v>1443.5</v>
      </c>
      <c r="I5" s="301"/>
    </row>
    <row r="6" spans="1:9" x14ac:dyDescent="0.25">
      <c r="A6" s="320"/>
      <c r="B6" s="325" t="s">
        <v>12</v>
      </c>
      <c r="C6" s="327" t="s">
        <v>0</v>
      </c>
      <c r="D6" s="327" t="s">
        <v>0</v>
      </c>
      <c r="E6" s="327" t="s">
        <v>0</v>
      </c>
      <c r="F6" s="327" t="s">
        <v>0</v>
      </c>
      <c r="G6" s="327" t="s">
        <v>0</v>
      </c>
      <c r="H6" s="327" t="s">
        <v>0</v>
      </c>
      <c r="I6" s="301"/>
    </row>
    <row r="7" spans="1:9" x14ac:dyDescent="0.25">
      <c r="A7" s="320" t="s">
        <v>89</v>
      </c>
      <c r="B7" s="324" t="s">
        <v>13</v>
      </c>
      <c r="C7" s="328">
        <v>2285</v>
      </c>
      <c r="D7" s="328">
        <v>2390</v>
      </c>
      <c r="E7" s="328">
        <v>727</v>
      </c>
      <c r="F7" s="328">
        <v>1037.2</v>
      </c>
      <c r="G7" s="328">
        <v>1236.0999999999999</v>
      </c>
      <c r="H7" s="328">
        <v>1443.5</v>
      </c>
      <c r="I7" s="301"/>
    </row>
    <row r="8" spans="1:9" x14ac:dyDescent="0.25">
      <c r="A8" s="320"/>
      <c r="B8" s="325"/>
      <c r="C8" s="325"/>
      <c r="D8" s="325"/>
      <c r="E8" s="325"/>
      <c r="F8" s="325"/>
      <c r="G8" s="325"/>
      <c r="H8" s="325"/>
      <c r="I8" s="301"/>
    </row>
    <row r="9" spans="1:9" x14ac:dyDescent="0.25">
      <c r="A9" s="320"/>
      <c r="B9" s="325" t="s">
        <v>14</v>
      </c>
      <c r="C9" s="327">
        <v>1479</v>
      </c>
      <c r="D9" s="327">
        <v>1580</v>
      </c>
      <c r="E9" s="327">
        <v>426</v>
      </c>
      <c r="F9" s="327">
        <v>604.9</v>
      </c>
      <c r="G9" s="327">
        <v>759.7</v>
      </c>
      <c r="H9" s="327">
        <v>899</v>
      </c>
      <c r="I9" s="301"/>
    </row>
    <row r="10" spans="1:9" x14ac:dyDescent="0.25">
      <c r="A10" s="320" t="s">
        <v>89</v>
      </c>
      <c r="B10" s="324" t="s">
        <v>15</v>
      </c>
      <c r="C10" s="328">
        <v>806</v>
      </c>
      <c r="D10" s="328">
        <v>810</v>
      </c>
      <c r="E10" s="328">
        <v>301</v>
      </c>
      <c r="F10" s="328">
        <v>432.3</v>
      </c>
      <c r="G10" s="328">
        <v>476.4</v>
      </c>
      <c r="H10" s="328">
        <v>544.5</v>
      </c>
      <c r="I10" s="301"/>
    </row>
    <row r="11" spans="1:9" x14ac:dyDescent="0.25">
      <c r="A11" s="320"/>
      <c r="B11" s="325"/>
      <c r="C11" s="325"/>
      <c r="D11" s="325"/>
      <c r="E11" s="325"/>
      <c r="F11" s="325"/>
      <c r="G11" s="325"/>
      <c r="H11" s="325"/>
      <c r="I11" s="301"/>
    </row>
    <row r="12" spans="1:9" x14ac:dyDescent="0.25">
      <c r="A12" s="320"/>
      <c r="B12" s="325" t="s">
        <v>16</v>
      </c>
      <c r="C12" s="327">
        <v>416</v>
      </c>
      <c r="D12" s="327">
        <v>509</v>
      </c>
      <c r="E12" s="327">
        <v>122.3</v>
      </c>
      <c r="F12" s="327">
        <v>95.7</v>
      </c>
      <c r="G12" s="327">
        <v>251.6</v>
      </c>
      <c r="H12" s="327">
        <v>236.9</v>
      </c>
      <c r="I12" s="301"/>
    </row>
    <row r="13" spans="1:9" x14ac:dyDescent="0.25">
      <c r="A13" s="320"/>
      <c r="B13" s="325" t="s">
        <v>17</v>
      </c>
      <c r="C13" s="327">
        <v>14</v>
      </c>
      <c r="D13" s="327" t="s">
        <v>0</v>
      </c>
      <c r="E13" s="327" t="s">
        <v>0</v>
      </c>
      <c r="F13" s="327" t="s">
        <v>0</v>
      </c>
      <c r="G13" s="327" t="s">
        <v>0</v>
      </c>
      <c r="H13" s="327" t="s">
        <v>0</v>
      </c>
      <c r="I13" s="301"/>
    </row>
    <row r="14" spans="1:9" x14ac:dyDescent="0.25">
      <c r="A14" s="320"/>
      <c r="B14" s="325" t="s">
        <v>18</v>
      </c>
      <c r="C14" s="327" t="s">
        <v>0</v>
      </c>
      <c r="D14" s="327" t="s">
        <v>0</v>
      </c>
      <c r="E14" s="327" t="s">
        <v>0</v>
      </c>
      <c r="F14" s="327" t="s">
        <v>0</v>
      </c>
      <c r="G14" s="327" t="s">
        <v>0</v>
      </c>
      <c r="H14" s="327" t="s">
        <v>0</v>
      </c>
      <c r="I14" s="301"/>
    </row>
    <row r="15" spans="1:9" x14ac:dyDescent="0.25">
      <c r="A15" s="320"/>
      <c r="B15" s="325" t="s">
        <v>19</v>
      </c>
      <c r="C15" s="327">
        <v>-3</v>
      </c>
      <c r="D15" s="327">
        <v>-20</v>
      </c>
      <c r="E15" s="327">
        <v>-37</v>
      </c>
      <c r="F15" s="327">
        <v>-31.7</v>
      </c>
      <c r="G15" s="327">
        <v>11.4</v>
      </c>
      <c r="H15" s="327">
        <v>32.799999999999997</v>
      </c>
      <c r="I15" s="301"/>
    </row>
    <row r="16" spans="1:9" x14ac:dyDescent="0.25">
      <c r="A16" s="320"/>
      <c r="B16" s="325"/>
      <c r="C16" s="325"/>
      <c r="D16" s="325"/>
      <c r="E16" s="325"/>
      <c r="F16" s="325"/>
      <c r="G16" s="325"/>
      <c r="H16" s="325"/>
      <c r="I16" s="301"/>
    </row>
    <row r="17" spans="1:9" x14ac:dyDescent="0.25">
      <c r="A17" s="320" t="s">
        <v>89</v>
      </c>
      <c r="B17" s="324" t="s">
        <v>20</v>
      </c>
      <c r="C17" s="328">
        <v>427</v>
      </c>
      <c r="D17" s="328">
        <v>489</v>
      </c>
      <c r="E17" s="328">
        <v>85.3</v>
      </c>
      <c r="F17" s="328">
        <v>64</v>
      </c>
      <c r="G17" s="328">
        <v>263</v>
      </c>
      <c r="H17" s="328">
        <v>269.7</v>
      </c>
      <c r="I17" s="301"/>
    </row>
    <row r="18" spans="1:9" x14ac:dyDescent="0.25">
      <c r="A18" s="320"/>
      <c r="B18" s="325"/>
      <c r="C18" s="325"/>
      <c r="D18" s="325"/>
      <c r="E18" s="325"/>
      <c r="F18" s="325"/>
      <c r="G18" s="325"/>
      <c r="H18" s="325"/>
      <c r="I18" s="301"/>
    </row>
    <row r="19" spans="1:9" x14ac:dyDescent="0.25">
      <c r="A19" s="320" t="s">
        <v>89</v>
      </c>
      <c r="B19" s="324" t="s">
        <v>21</v>
      </c>
      <c r="C19" s="326">
        <v>379</v>
      </c>
      <c r="D19" s="326">
        <v>321</v>
      </c>
      <c r="E19" s="326">
        <v>215.7</v>
      </c>
      <c r="F19" s="326">
        <v>368.3</v>
      </c>
      <c r="G19" s="326">
        <v>213.4</v>
      </c>
      <c r="H19" s="326">
        <v>274.8</v>
      </c>
      <c r="I19" s="301"/>
    </row>
    <row r="20" spans="1:9" x14ac:dyDescent="0.25">
      <c r="A20" s="320"/>
      <c r="B20" s="325"/>
      <c r="C20" s="325"/>
      <c r="D20" s="325"/>
      <c r="E20" s="325"/>
      <c r="F20" s="325"/>
      <c r="G20" s="325"/>
      <c r="H20" s="325"/>
      <c r="I20" s="301"/>
    </row>
    <row r="21" spans="1:9" x14ac:dyDescent="0.25">
      <c r="A21" s="320"/>
      <c r="B21" s="325" t="s">
        <v>22</v>
      </c>
      <c r="C21" s="327">
        <v>-63</v>
      </c>
      <c r="D21" s="327">
        <v>-73</v>
      </c>
      <c r="E21" s="327">
        <v>-72.7</v>
      </c>
      <c r="F21" s="327">
        <v>-71.900000000000006</v>
      </c>
      <c r="G21" s="327">
        <v>-69.3</v>
      </c>
      <c r="H21" s="327">
        <v>-37.200000000000003</v>
      </c>
      <c r="I21" s="301"/>
    </row>
    <row r="22" spans="1:9" x14ac:dyDescent="0.25">
      <c r="A22" s="320"/>
      <c r="B22" s="325" t="s">
        <v>23</v>
      </c>
      <c r="C22" s="327" t="s">
        <v>0</v>
      </c>
      <c r="D22" s="327" t="s">
        <v>0</v>
      </c>
      <c r="E22" s="327" t="s">
        <v>0</v>
      </c>
      <c r="F22" s="327" t="s">
        <v>0</v>
      </c>
      <c r="G22" s="327" t="s">
        <v>0</v>
      </c>
      <c r="H22" s="327" t="s">
        <v>0</v>
      </c>
      <c r="I22" s="301"/>
    </row>
    <row r="23" spans="1:9" x14ac:dyDescent="0.25">
      <c r="A23" s="320" t="s">
        <v>89</v>
      </c>
      <c r="B23" s="324" t="s">
        <v>24</v>
      </c>
      <c r="C23" s="328">
        <v>-63</v>
      </c>
      <c r="D23" s="328">
        <v>-73</v>
      </c>
      <c r="E23" s="328">
        <v>-72.7</v>
      </c>
      <c r="F23" s="328">
        <v>-71.900000000000006</v>
      </c>
      <c r="G23" s="328">
        <v>-69.3</v>
      </c>
      <c r="H23" s="328">
        <v>-37.200000000000003</v>
      </c>
      <c r="I23" s="301"/>
    </row>
    <row r="24" spans="1:9" x14ac:dyDescent="0.25">
      <c r="A24" s="320"/>
      <c r="B24" s="325"/>
      <c r="C24" s="325"/>
      <c r="D24" s="325"/>
      <c r="E24" s="325"/>
      <c r="F24" s="325"/>
      <c r="G24" s="325"/>
      <c r="H24" s="325"/>
      <c r="I24" s="301"/>
    </row>
    <row r="25" spans="1:9" x14ac:dyDescent="0.25">
      <c r="A25" s="320"/>
      <c r="B25" s="325" t="s">
        <v>25</v>
      </c>
      <c r="C25" s="327">
        <v>14</v>
      </c>
      <c r="D25" s="327">
        <v>12</v>
      </c>
      <c r="E25" s="327" t="s">
        <v>0</v>
      </c>
      <c r="F25" s="327" t="s">
        <v>0</v>
      </c>
      <c r="G25" s="327" t="s">
        <v>0</v>
      </c>
      <c r="H25" s="327" t="s">
        <v>0</v>
      </c>
      <c r="I25" s="301"/>
    </row>
    <row r="26" spans="1:9" x14ac:dyDescent="0.25">
      <c r="A26" s="320"/>
      <c r="B26" s="325" t="s">
        <v>26</v>
      </c>
      <c r="C26" s="327" t="s">
        <v>0</v>
      </c>
      <c r="D26" s="327" t="s">
        <v>0</v>
      </c>
      <c r="E26" s="327" t="s">
        <v>0</v>
      </c>
      <c r="F26" s="327" t="s">
        <v>0</v>
      </c>
      <c r="G26" s="327" t="s">
        <v>0</v>
      </c>
      <c r="H26" s="327" t="s">
        <v>0</v>
      </c>
      <c r="I26" s="301"/>
    </row>
    <row r="27" spans="1:9" x14ac:dyDescent="0.25">
      <c r="A27" s="320" t="s">
        <v>89</v>
      </c>
      <c r="B27" s="324" t="s">
        <v>27</v>
      </c>
      <c r="C27" s="328">
        <v>330</v>
      </c>
      <c r="D27" s="328">
        <v>260</v>
      </c>
      <c r="E27" s="328">
        <v>143</v>
      </c>
      <c r="F27" s="328">
        <v>296.39999999999998</v>
      </c>
      <c r="G27" s="328">
        <v>144.1</v>
      </c>
      <c r="H27" s="328">
        <v>237.6</v>
      </c>
      <c r="I27" s="301"/>
    </row>
    <row r="28" spans="1:9" x14ac:dyDescent="0.25">
      <c r="A28" s="320"/>
      <c r="B28" s="325"/>
      <c r="C28" s="325"/>
      <c r="D28" s="325"/>
      <c r="E28" s="325"/>
      <c r="F28" s="325"/>
      <c r="G28" s="325"/>
      <c r="H28" s="325"/>
      <c r="I28" s="301"/>
    </row>
    <row r="29" spans="1:9" x14ac:dyDescent="0.25">
      <c r="A29" s="320"/>
      <c r="B29" s="325" t="s">
        <v>28</v>
      </c>
      <c r="C29" s="327" t="s">
        <v>0</v>
      </c>
      <c r="D29" s="327" t="s">
        <v>0</v>
      </c>
      <c r="E29" s="327" t="s">
        <v>0</v>
      </c>
      <c r="F29" s="327" t="s">
        <v>0</v>
      </c>
      <c r="G29" s="327" t="s">
        <v>0</v>
      </c>
      <c r="H29" s="327" t="s">
        <v>0</v>
      </c>
      <c r="I29" s="301"/>
    </row>
    <row r="30" spans="1:9" x14ac:dyDescent="0.25">
      <c r="A30" s="320"/>
      <c r="B30" s="325" t="s">
        <v>29</v>
      </c>
      <c r="C30" s="327">
        <v>2</v>
      </c>
      <c r="D30" s="327">
        <v>1</v>
      </c>
      <c r="E30" s="327">
        <v>-0.6</v>
      </c>
      <c r="F30" s="327" t="s">
        <v>0</v>
      </c>
      <c r="G30" s="327" t="s">
        <v>0</v>
      </c>
      <c r="H30" s="327" t="s">
        <v>0</v>
      </c>
      <c r="I30" s="301"/>
    </row>
    <row r="31" spans="1:9" x14ac:dyDescent="0.25">
      <c r="A31" s="320"/>
      <c r="B31" s="325" t="s">
        <v>30</v>
      </c>
      <c r="C31" s="327" t="s">
        <v>0</v>
      </c>
      <c r="D31" s="327">
        <v>4</v>
      </c>
      <c r="E31" s="327">
        <v>-19.399999999999999</v>
      </c>
      <c r="F31" s="327">
        <v>-36.4</v>
      </c>
      <c r="G31" s="327" t="s">
        <v>0</v>
      </c>
      <c r="H31" s="327">
        <v>-1.1000000000000001</v>
      </c>
      <c r="I31" s="301"/>
    </row>
    <row r="32" spans="1:9" x14ac:dyDescent="0.25">
      <c r="A32" s="320" t="s">
        <v>89</v>
      </c>
      <c r="B32" s="324" t="s">
        <v>31</v>
      </c>
      <c r="C32" s="328">
        <v>332</v>
      </c>
      <c r="D32" s="328">
        <v>265</v>
      </c>
      <c r="E32" s="328">
        <v>123</v>
      </c>
      <c r="F32" s="328">
        <v>260</v>
      </c>
      <c r="G32" s="328">
        <v>144.1</v>
      </c>
      <c r="H32" s="328">
        <v>236.5</v>
      </c>
      <c r="I32" s="301"/>
    </row>
    <row r="33" spans="1:9" x14ac:dyDescent="0.25">
      <c r="A33" s="320"/>
      <c r="B33" s="325"/>
      <c r="C33" s="325"/>
      <c r="D33" s="325"/>
      <c r="E33" s="325"/>
      <c r="F33" s="325"/>
      <c r="G33" s="325"/>
      <c r="H33" s="325"/>
      <c r="I33" s="301"/>
    </row>
    <row r="34" spans="1:9" x14ac:dyDescent="0.25">
      <c r="A34" s="320"/>
      <c r="B34" s="325" t="s">
        <v>32</v>
      </c>
      <c r="C34" s="327">
        <v>166</v>
      </c>
      <c r="D34" s="327">
        <v>57</v>
      </c>
      <c r="E34" s="327">
        <v>53.4</v>
      </c>
      <c r="F34" s="327">
        <v>59.9</v>
      </c>
      <c r="G34" s="327">
        <v>34.700000000000003</v>
      </c>
      <c r="H34" s="327">
        <v>37.1</v>
      </c>
      <c r="I34" s="301"/>
    </row>
    <row r="35" spans="1:9" x14ac:dyDescent="0.25">
      <c r="A35" s="320" t="s">
        <v>89</v>
      </c>
      <c r="B35" s="324" t="s">
        <v>33</v>
      </c>
      <c r="C35" s="328">
        <v>166</v>
      </c>
      <c r="D35" s="328">
        <v>208</v>
      </c>
      <c r="E35" s="328">
        <v>69.599999999999994</v>
      </c>
      <c r="F35" s="328">
        <v>200.1</v>
      </c>
      <c r="G35" s="328">
        <v>109.4</v>
      </c>
      <c r="H35" s="328">
        <v>199.4</v>
      </c>
      <c r="I35" s="301"/>
    </row>
    <row r="36" spans="1:9" x14ac:dyDescent="0.25">
      <c r="A36" s="320"/>
      <c r="B36" s="325"/>
      <c r="C36" s="325"/>
      <c r="D36" s="325"/>
      <c r="E36" s="325"/>
      <c r="F36" s="325"/>
      <c r="G36" s="325"/>
      <c r="H36" s="325"/>
      <c r="I36" s="301"/>
    </row>
    <row r="37" spans="1:9" x14ac:dyDescent="0.25">
      <c r="A37" s="320"/>
      <c r="B37" s="325" t="s">
        <v>34</v>
      </c>
      <c r="C37" s="327" t="s">
        <v>0</v>
      </c>
      <c r="D37" s="327" t="s">
        <v>0</v>
      </c>
      <c r="E37" s="327">
        <v>247</v>
      </c>
      <c r="F37" s="327">
        <v>220.2</v>
      </c>
      <c r="G37" s="327">
        <v>314.89999999999998</v>
      </c>
      <c r="H37" s="327">
        <v>1220.3</v>
      </c>
      <c r="I37" s="301"/>
    </row>
    <row r="38" spans="1:9" x14ac:dyDescent="0.25">
      <c r="A38" s="320"/>
      <c r="B38" s="325" t="s">
        <v>35</v>
      </c>
      <c r="C38" s="327" t="s">
        <v>0</v>
      </c>
      <c r="D38" s="327" t="s">
        <v>0</v>
      </c>
      <c r="E38" s="327" t="s">
        <v>0</v>
      </c>
      <c r="F38" s="327" t="s">
        <v>0</v>
      </c>
      <c r="G38" s="327" t="s">
        <v>0</v>
      </c>
      <c r="H38" s="327" t="s">
        <v>0</v>
      </c>
      <c r="I38" s="301"/>
    </row>
    <row r="39" spans="1:9" x14ac:dyDescent="0.25">
      <c r="A39" s="320" t="s">
        <v>89</v>
      </c>
      <c r="B39" s="324" t="s">
        <v>36</v>
      </c>
      <c r="C39" s="328">
        <v>166</v>
      </c>
      <c r="D39" s="328">
        <v>208</v>
      </c>
      <c r="E39" s="328">
        <v>316.60000000000002</v>
      </c>
      <c r="F39" s="328">
        <v>420.3</v>
      </c>
      <c r="G39" s="328">
        <v>424.3</v>
      </c>
      <c r="H39" s="328">
        <v>1419.7</v>
      </c>
      <c r="I39" s="301"/>
    </row>
    <row r="40" spans="1:9" x14ac:dyDescent="0.25">
      <c r="A40" s="320"/>
      <c r="B40" s="325"/>
      <c r="C40" s="325"/>
      <c r="D40" s="325"/>
      <c r="E40" s="325"/>
      <c r="F40" s="325"/>
      <c r="G40" s="325"/>
      <c r="H40" s="325"/>
      <c r="I40" s="301"/>
    </row>
    <row r="41" spans="1:9" x14ac:dyDescent="0.25">
      <c r="A41" s="320"/>
      <c r="B41" s="325" t="s">
        <v>37</v>
      </c>
      <c r="C41" s="327" t="s">
        <v>0</v>
      </c>
      <c r="D41" s="327" t="s">
        <v>0</v>
      </c>
      <c r="E41" s="327" t="s">
        <v>0</v>
      </c>
      <c r="F41" s="327" t="s">
        <v>0</v>
      </c>
      <c r="G41" s="327" t="s">
        <v>0</v>
      </c>
      <c r="H41" s="327" t="s">
        <v>0</v>
      </c>
      <c r="I41" s="301"/>
    </row>
    <row r="42" spans="1:9" x14ac:dyDescent="0.25">
      <c r="A42" s="320" t="s">
        <v>89</v>
      </c>
      <c r="B42" s="324" t="s">
        <v>38</v>
      </c>
      <c r="C42" s="329">
        <v>166</v>
      </c>
      <c r="D42" s="329">
        <v>208</v>
      </c>
      <c r="E42" s="329">
        <v>316.60000000000002</v>
      </c>
      <c r="F42" s="329">
        <v>420.3</v>
      </c>
      <c r="G42" s="329">
        <v>424.3</v>
      </c>
      <c r="H42" s="329">
        <v>1419.7</v>
      </c>
      <c r="I42" s="301"/>
    </row>
    <row r="43" spans="1:9" x14ac:dyDescent="0.25">
      <c r="A43" s="320"/>
      <c r="B43" s="325"/>
      <c r="C43" s="325"/>
      <c r="D43" s="325"/>
      <c r="E43" s="325"/>
      <c r="F43" s="325"/>
      <c r="G43" s="325"/>
      <c r="H43" s="325"/>
      <c r="I43" s="301"/>
    </row>
    <row r="44" spans="1:9" x14ac:dyDescent="0.25">
      <c r="A44" s="320"/>
      <c r="B44" s="325" t="s">
        <v>39</v>
      </c>
      <c r="C44" s="327" t="s">
        <v>0</v>
      </c>
      <c r="D44" s="327" t="s">
        <v>0</v>
      </c>
      <c r="E44" s="327" t="s">
        <v>0</v>
      </c>
      <c r="F44" s="327" t="s">
        <v>0</v>
      </c>
      <c r="G44" s="327" t="s">
        <v>0</v>
      </c>
      <c r="H44" s="327" t="s">
        <v>0</v>
      </c>
      <c r="I44" s="301"/>
    </row>
    <row r="45" spans="1:9" x14ac:dyDescent="0.25">
      <c r="A45" s="320"/>
      <c r="B45" s="325"/>
      <c r="C45" s="325"/>
      <c r="D45" s="325"/>
      <c r="E45" s="325"/>
      <c r="F45" s="325"/>
      <c r="G45" s="325"/>
      <c r="H45" s="325"/>
      <c r="I45" s="301"/>
    </row>
    <row r="46" spans="1:9" x14ac:dyDescent="0.25">
      <c r="A46" s="320" t="s">
        <v>89</v>
      </c>
      <c r="B46" s="324" t="s">
        <v>40</v>
      </c>
      <c r="C46" s="326">
        <v>166</v>
      </c>
      <c r="D46" s="326">
        <v>208</v>
      </c>
      <c r="E46" s="326">
        <v>316.60000000000002</v>
      </c>
      <c r="F46" s="326">
        <v>420.3</v>
      </c>
      <c r="G46" s="326">
        <v>424.3</v>
      </c>
      <c r="H46" s="326">
        <v>1419.7</v>
      </c>
      <c r="I46" s="301"/>
    </row>
    <row r="47" spans="1:9" x14ac:dyDescent="0.25">
      <c r="A47" s="320" t="s">
        <v>89</v>
      </c>
      <c r="B47" s="324" t="s">
        <v>41</v>
      </c>
      <c r="C47" s="326">
        <v>166</v>
      </c>
      <c r="D47" s="326">
        <v>208</v>
      </c>
      <c r="E47" s="326">
        <v>69.599999999999994</v>
      </c>
      <c r="F47" s="326">
        <v>200.1</v>
      </c>
      <c r="G47" s="326">
        <v>109.4</v>
      </c>
      <c r="H47" s="326">
        <v>199.4</v>
      </c>
      <c r="I47" s="301"/>
    </row>
    <row r="48" spans="1:9" x14ac:dyDescent="0.25">
      <c r="A48" s="320"/>
      <c r="B48" s="325"/>
      <c r="C48" s="325"/>
      <c r="D48" s="325"/>
      <c r="E48" s="325"/>
      <c r="F48" s="325"/>
      <c r="G48" s="325"/>
      <c r="H48" s="325"/>
      <c r="I48" s="301"/>
    </row>
    <row r="49" spans="1:9" x14ac:dyDescent="0.25">
      <c r="A49" s="320" t="s">
        <v>89</v>
      </c>
      <c r="B49" s="324" t="s">
        <v>42</v>
      </c>
      <c r="C49" s="325"/>
      <c r="D49" s="325"/>
      <c r="E49" s="325"/>
      <c r="F49" s="325"/>
      <c r="G49" s="325"/>
      <c r="H49" s="325"/>
      <c r="I49" s="301"/>
    </row>
    <row r="50" spans="1:9" x14ac:dyDescent="0.25">
      <c r="A50" s="320"/>
      <c r="B50" s="325" t="s">
        <v>43</v>
      </c>
      <c r="C50" s="331">
        <v>0.84</v>
      </c>
      <c r="D50" s="331">
        <v>1.1000000000000001</v>
      </c>
      <c r="E50" s="331">
        <v>1.69</v>
      </c>
      <c r="F50" s="331">
        <v>2.2999999999999998</v>
      </c>
      <c r="G50" s="331">
        <v>2.37</v>
      </c>
      <c r="H50" s="331">
        <v>8.7899999999999991</v>
      </c>
      <c r="I50" s="301"/>
    </row>
    <row r="51" spans="1:9" x14ac:dyDescent="0.25">
      <c r="A51" s="320"/>
      <c r="B51" s="325" t="s">
        <v>44</v>
      </c>
      <c r="C51" s="332">
        <v>0.84263900000000003</v>
      </c>
      <c r="D51" s="332">
        <v>1.1005290000000001</v>
      </c>
      <c r="E51" s="332">
        <v>0.37219200000000002</v>
      </c>
      <c r="F51" s="332">
        <v>1.096438</v>
      </c>
      <c r="G51" s="332">
        <v>0.61083100000000001</v>
      </c>
      <c r="H51" s="332">
        <v>1.2339100000000001</v>
      </c>
      <c r="I51" s="301"/>
    </row>
    <row r="52" spans="1:9" x14ac:dyDescent="0.25">
      <c r="A52" s="320"/>
      <c r="B52" s="325" t="s">
        <v>45</v>
      </c>
      <c r="C52" s="327">
        <v>197</v>
      </c>
      <c r="D52" s="327">
        <v>189</v>
      </c>
      <c r="E52" s="327">
        <v>187</v>
      </c>
      <c r="F52" s="327">
        <v>182.5</v>
      </c>
      <c r="G52" s="327">
        <v>179.1</v>
      </c>
      <c r="H52" s="327">
        <v>161.6</v>
      </c>
      <c r="I52" s="301"/>
    </row>
    <row r="53" spans="1:9" x14ac:dyDescent="0.25">
      <c r="A53" s="320"/>
      <c r="B53" s="325"/>
      <c r="C53" s="325"/>
      <c r="D53" s="325"/>
      <c r="E53" s="325"/>
      <c r="F53" s="325"/>
      <c r="G53" s="325"/>
      <c r="H53" s="325"/>
      <c r="I53" s="301"/>
    </row>
    <row r="54" spans="1:9" x14ac:dyDescent="0.25">
      <c r="A54" s="320"/>
      <c r="B54" s="325" t="s">
        <v>46</v>
      </c>
      <c r="C54" s="331">
        <v>0.84</v>
      </c>
      <c r="D54" s="331">
        <v>1.1000000000000001</v>
      </c>
      <c r="E54" s="331">
        <v>1.69</v>
      </c>
      <c r="F54" s="331">
        <v>2.29</v>
      </c>
      <c r="G54" s="331">
        <v>2.36</v>
      </c>
      <c r="H54" s="331">
        <v>8.73</v>
      </c>
      <c r="I54" s="301"/>
    </row>
    <row r="55" spans="1:9" x14ac:dyDescent="0.25">
      <c r="A55" s="320"/>
      <c r="B55" s="325" t="s">
        <v>47</v>
      </c>
      <c r="C55" s="332">
        <v>0.84</v>
      </c>
      <c r="D55" s="332">
        <v>1.1000000000000001</v>
      </c>
      <c r="E55" s="332">
        <v>0.37</v>
      </c>
      <c r="F55" s="332">
        <v>1.0900000000000001</v>
      </c>
      <c r="G55" s="332">
        <v>0.61</v>
      </c>
      <c r="H55" s="332">
        <v>1.23</v>
      </c>
      <c r="I55" s="301"/>
    </row>
    <row r="56" spans="1:9" x14ac:dyDescent="0.25">
      <c r="A56" s="320"/>
      <c r="B56" s="325" t="s">
        <v>48</v>
      </c>
      <c r="C56" s="327">
        <v>197</v>
      </c>
      <c r="D56" s="327">
        <v>189</v>
      </c>
      <c r="E56" s="327">
        <v>187.5</v>
      </c>
      <c r="F56" s="327">
        <v>183.5</v>
      </c>
      <c r="G56" s="327">
        <v>180.4</v>
      </c>
      <c r="H56" s="327">
        <v>162.6</v>
      </c>
      <c r="I56" s="301"/>
    </row>
    <row r="57" spans="1:9" x14ac:dyDescent="0.25">
      <c r="A57" s="320"/>
      <c r="B57" s="325"/>
      <c r="C57" s="325"/>
      <c r="D57" s="325"/>
      <c r="E57" s="325"/>
      <c r="F57" s="325"/>
      <c r="G57" s="325"/>
      <c r="H57" s="325"/>
      <c r="I57" s="301"/>
    </row>
    <row r="58" spans="1:9" x14ac:dyDescent="0.25">
      <c r="A58" s="320"/>
      <c r="B58" s="325" t="s">
        <v>49</v>
      </c>
      <c r="C58" s="331">
        <v>1.05</v>
      </c>
      <c r="D58" s="331">
        <v>0.86</v>
      </c>
      <c r="E58" s="331">
        <v>0.48</v>
      </c>
      <c r="F58" s="331">
        <v>1.02</v>
      </c>
      <c r="G58" s="331">
        <v>0.5</v>
      </c>
      <c r="H58" s="331">
        <v>0.92</v>
      </c>
      <c r="I58" s="301"/>
    </row>
    <row r="59" spans="1:9" x14ac:dyDescent="0.25">
      <c r="A59" s="320"/>
      <c r="B59" s="325" t="s">
        <v>50</v>
      </c>
      <c r="C59" s="332">
        <v>1.0469539999999999</v>
      </c>
      <c r="D59" s="332">
        <v>0.859788</v>
      </c>
      <c r="E59" s="332">
        <v>0.47666599999999998</v>
      </c>
      <c r="F59" s="332">
        <v>1.009536</v>
      </c>
      <c r="G59" s="332">
        <v>0.49923699999999999</v>
      </c>
      <c r="H59" s="332">
        <v>0.91328399999999998</v>
      </c>
      <c r="I59" s="301"/>
    </row>
    <row r="60" spans="1:9" x14ac:dyDescent="0.25">
      <c r="A60" s="320"/>
      <c r="B60" s="325"/>
      <c r="C60" s="325"/>
      <c r="D60" s="325"/>
      <c r="E60" s="325"/>
      <c r="F60" s="325"/>
      <c r="G60" s="325"/>
      <c r="H60" s="325"/>
      <c r="I60" s="301"/>
    </row>
    <row r="61" spans="1:9" x14ac:dyDescent="0.25">
      <c r="A61" s="320"/>
      <c r="B61" s="325" t="s">
        <v>51</v>
      </c>
      <c r="C61" s="331">
        <v>0.3</v>
      </c>
      <c r="D61" s="331">
        <v>0.42</v>
      </c>
      <c r="E61" s="331">
        <v>0.45</v>
      </c>
      <c r="F61" s="331">
        <v>0.5</v>
      </c>
      <c r="G61" s="331">
        <v>0.5</v>
      </c>
      <c r="H61" s="331">
        <v>0.13</v>
      </c>
      <c r="I61" s="301"/>
    </row>
    <row r="62" spans="1:9" x14ac:dyDescent="0.25">
      <c r="A62" s="320"/>
      <c r="B62" s="325" t="s">
        <v>52</v>
      </c>
      <c r="C62" s="333">
        <v>0.34939700000000001</v>
      </c>
      <c r="D62" s="333">
        <v>0.38461499999999998</v>
      </c>
      <c r="E62" s="333">
        <v>0.266266</v>
      </c>
      <c r="F62" s="333">
        <v>0.21627399999999999</v>
      </c>
      <c r="G62" s="333">
        <v>0.210228</v>
      </c>
      <c r="H62" s="333">
        <v>1.5355000000000001E-2</v>
      </c>
      <c r="I62" s="301"/>
    </row>
    <row r="63" spans="1:9" x14ac:dyDescent="0.25">
      <c r="B63" s="117"/>
      <c r="C63" s="117"/>
      <c r="D63" s="117"/>
      <c r="E63" s="117"/>
      <c r="F63" s="117"/>
      <c r="G63" s="117"/>
      <c r="H63" s="117"/>
      <c r="I63" s="301"/>
    </row>
    <row r="64" spans="1:9" x14ac:dyDescent="0.25">
      <c r="B64" s="324"/>
      <c r="C64" s="117"/>
      <c r="D64" s="117"/>
      <c r="E64" s="117"/>
      <c r="F64" s="117"/>
      <c r="G64" s="117"/>
      <c r="H64" s="117"/>
      <c r="I64" s="301"/>
    </row>
    <row r="65" spans="2:9" x14ac:dyDescent="0.25">
      <c r="B65" s="128" t="s">
        <v>178</v>
      </c>
      <c r="C65" s="118"/>
      <c r="D65" s="118"/>
      <c r="E65" s="118"/>
      <c r="F65" s="118"/>
      <c r="G65" s="118"/>
      <c r="H65" s="118"/>
      <c r="I65" s="301"/>
    </row>
    <row r="66" spans="2:9" x14ac:dyDescent="0.25">
      <c r="B66" s="334" t="s">
        <v>179</v>
      </c>
      <c r="C66" s="8">
        <f>C9/C7</f>
        <v>0.64726477024070017</v>
      </c>
      <c r="D66" s="8">
        <f t="shared" ref="D66:H66" si="0">D9/D7</f>
        <v>0.66108786610878656</v>
      </c>
      <c r="E66" s="8">
        <f t="shared" si="0"/>
        <v>0.58596973865199453</v>
      </c>
      <c r="F66" s="8">
        <f t="shared" si="0"/>
        <v>0.58320478210566906</v>
      </c>
      <c r="G66" s="8">
        <f t="shared" si="0"/>
        <v>0.61459428848798647</v>
      </c>
      <c r="H66" s="8">
        <f t="shared" si="0"/>
        <v>0.62279182542431588</v>
      </c>
      <c r="I66" s="301"/>
    </row>
    <row r="67" spans="2:9" x14ac:dyDescent="0.25">
      <c r="B67" s="301" t="s">
        <v>180</v>
      </c>
      <c r="C67" s="23">
        <f>C10/C7</f>
        <v>0.35273522975929977</v>
      </c>
      <c r="D67" s="23">
        <f t="shared" ref="D67:H67" si="1">D10/D7</f>
        <v>0.33891213389121339</v>
      </c>
      <c r="E67" s="23">
        <f t="shared" si="1"/>
        <v>0.41403026134800552</v>
      </c>
      <c r="F67" s="23">
        <f t="shared" si="1"/>
        <v>0.41679521789433088</v>
      </c>
      <c r="G67" s="23">
        <f t="shared" si="1"/>
        <v>0.38540571151201358</v>
      </c>
      <c r="H67" s="23">
        <f t="shared" si="1"/>
        <v>0.37720817457568412</v>
      </c>
      <c r="I67" s="301"/>
    </row>
    <row r="68" spans="2:9" x14ac:dyDescent="0.25">
      <c r="B68" s="301" t="s">
        <v>181</v>
      </c>
      <c r="C68" s="23">
        <f>C12/$C$5</f>
        <v>0.18205689277899342</v>
      </c>
      <c r="D68" s="23">
        <f t="shared" ref="D68:H68" si="2">D12/D5</f>
        <v>0.21297071129707112</v>
      </c>
      <c r="E68" s="23">
        <f t="shared" si="2"/>
        <v>0.16822558459422282</v>
      </c>
      <c r="F68" s="23">
        <f t="shared" si="2"/>
        <v>9.226764365599692E-2</v>
      </c>
      <c r="G68" s="23">
        <f t="shared" si="2"/>
        <v>0.20354340263732709</v>
      </c>
      <c r="H68" s="23">
        <f t="shared" si="2"/>
        <v>0.16411499826809839</v>
      </c>
      <c r="I68" s="301"/>
    </row>
    <row r="69" spans="2:9" x14ac:dyDescent="0.25">
      <c r="B69" s="301" t="s">
        <v>470</v>
      </c>
      <c r="C69" s="23">
        <f>+C15/C7</f>
        <v>-1.312910284463895E-3</v>
      </c>
      <c r="D69" s="23">
        <f t="shared" ref="D69:H69" si="3">+D15/D7</f>
        <v>-8.368200836820083E-3</v>
      </c>
      <c r="E69" s="23">
        <f t="shared" si="3"/>
        <v>-5.0894085281980743E-2</v>
      </c>
      <c r="F69" s="23">
        <f t="shared" si="3"/>
        <v>-3.0563054377169298E-2</v>
      </c>
      <c r="G69" s="23">
        <f t="shared" si="3"/>
        <v>9.2225548094814341E-3</v>
      </c>
      <c r="H69" s="23">
        <f t="shared" si="3"/>
        <v>2.2722549359196396E-2</v>
      </c>
      <c r="I69" s="301"/>
    </row>
    <row r="70" spans="2:9" x14ac:dyDescent="0.25">
      <c r="B70" s="301" t="s">
        <v>182</v>
      </c>
      <c r="C70" s="23">
        <f>C12/C7</f>
        <v>0.18205689277899342</v>
      </c>
      <c r="D70" s="23">
        <f t="shared" ref="D70:H70" si="4">D12/D7</f>
        <v>0.21297071129707112</v>
      </c>
      <c r="E70" s="23">
        <f t="shared" si="4"/>
        <v>0.16822558459422282</v>
      </c>
      <c r="F70" s="23">
        <f t="shared" si="4"/>
        <v>9.226764365599692E-2</v>
      </c>
      <c r="G70" s="23">
        <f t="shared" si="4"/>
        <v>0.20354340263732709</v>
      </c>
      <c r="H70" s="23">
        <f t="shared" si="4"/>
        <v>0.16411499826809839</v>
      </c>
      <c r="I70" s="301"/>
    </row>
    <row r="71" spans="2:9" x14ac:dyDescent="0.25">
      <c r="B71" s="301" t="s">
        <v>183</v>
      </c>
      <c r="C71" s="23">
        <f>C34/C7</f>
        <v>7.264770240700219E-2</v>
      </c>
      <c r="D71" s="23">
        <f t="shared" ref="D71:H71" si="5">D34/D7</f>
        <v>2.3849372384937239E-2</v>
      </c>
      <c r="E71" s="23">
        <f t="shared" si="5"/>
        <v>7.34525447042641E-2</v>
      </c>
      <c r="F71" s="23">
        <f t="shared" si="5"/>
        <v>5.7751639028152717E-2</v>
      </c>
      <c r="G71" s="23">
        <f t="shared" si="5"/>
        <v>2.8072162446404016E-2</v>
      </c>
      <c r="H71" s="23">
        <f t="shared" si="5"/>
        <v>2.5701420159334951E-2</v>
      </c>
      <c r="I71" s="30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C35D-08C2-4A28-B89E-57A267203CC6}">
  <sheetPr>
    <pageSetUpPr autoPageBreaks="0"/>
  </sheetPr>
  <dimension ref="A1:N79"/>
  <sheetViews>
    <sheetView showGridLines="0" topLeftCell="A44" workbookViewId="0">
      <selection activeCell="D70" sqref="D70"/>
    </sheetView>
  </sheetViews>
  <sheetFormatPr defaultRowHeight="15" x14ac:dyDescent="0.25"/>
  <cols>
    <col min="1" max="1" width="2.7109375" customWidth="1"/>
    <col min="2" max="2" width="50" bestFit="1" customWidth="1"/>
    <col min="3" max="8" width="10.7109375" customWidth="1"/>
  </cols>
  <sheetData>
    <row r="1" spans="1:9" ht="2.1" customHeight="1" x14ac:dyDescent="0.25"/>
    <row r="2" spans="1:9" ht="26.25" x14ac:dyDescent="0.25">
      <c r="B2" s="111" t="s">
        <v>87</v>
      </c>
      <c r="C2" s="321"/>
      <c r="D2" s="321"/>
      <c r="E2" s="321"/>
      <c r="F2" s="321"/>
      <c r="G2" s="321"/>
      <c r="H2" s="321"/>
    </row>
    <row r="3" spans="1:9" ht="18.75" x14ac:dyDescent="0.25">
      <c r="B3" s="119" t="s">
        <v>88</v>
      </c>
      <c r="C3" s="321"/>
      <c r="D3" s="321"/>
      <c r="E3" s="321"/>
      <c r="F3" s="321"/>
      <c r="G3" s="321"/>
      <c r="H3" s="321"/>
    </row>
    <row r="4" spans="1:9" x14ac:dyDescent="0.25">
      <c r="B4" s="322"/>
      <c r="C4" s="323" t="s">
        <v>3</v>
      </c>
      <c r="D4" s="323" t="s">
        <v>4</v>
      </c>
      <c r="E4" s="323" t="s">
        <v>5</v>
      </c>
      <c r="F4" s="323" t="s">
        <v>6</v>
      </c>
      <c r="G4" s="323" t="s">
        <v>7</v>
      </c>
      <c r="H4" s="323" t="s">
        <v>8</v>
      </c>
    </row>
    <row r="5" spans="1:9" x14ac:dyDescent="0.25">
      <c r="A5" t="s">
        <v>89</v>
      </c>
      <c r="B5" s="5" t="s">
        <v>378</v>
      </c>
    </row>
    <row r="6" spans="1:9" x14ac:dyDescent="0.25">
      <c r="B6" t="s">
        <v>379</v>
      </c>
      <c r="C6" s="18">
        <v>96</v>
      </c>
      <c r="D6" s="18">
        <v>159</v>
      </c>
      <c r="E6" s="18">
        <v>760</v>
      </c>
      <c r="F6" s="18">
        <v>122.6</v>
      </c>
      <c r="G6" s="18">
        <v>23.4</v>
      </c>
      <c r="H6" s="18">
        <v>409.1</v>
      </c>
    </row>
    <row r="7" spans="1:9" x14ac:dyDescent="0.25">
      <c r="B7" t="s">
        <v>380</v>
      </c>
      <c r="C7" s="184">
        <v>0</v>
      </c>
      <c r="D7" s="184">
        <v>0</v>
      </c>
      <c r="E7" s="184">
        <v>0</v>
      </c>
      <c r="F7" s="184">
        <v>0</v>
      </c>
      <c r="G7" s="184">
        <v>0</v>
      </c>
      <c r="H7" s="184">
        <v>347.5</v>
      </c>
    </row>
    <row r="8" spans="1:9" x14ac:dyDescent="0.25">
      <c r="B8" t="s">
        <v>381</v>
      </c>
      <c r="C8" s="184">
        <v>409</v>
      </c>
      <c r="D8" s="184">
        <v>401</v>
      </c>
      <c r="E8" s="184">
        <v>433</v>
      </c>
      <c r="F8" s="184">
        <v>65.3</v>
      </c>
      <c r="G8" s="184">
        <v>66.099999999999994</v>
      </c>
      <c r="H8" s="184">
        <v>81.3</v>
      </c>
    </row>
    <row r="9" spans="1:9" x14ac:dyDescent="0.25">
      <c r="B9" t="s">
        <v>382</v>
      </c>
      <c r="C9" s="184">
        <v>176</v>
      </c>
      <c r="D9" s="184">
        <v>194</v>
      </c>
      <c r="E9" s="184">
        <v>199</v>
      </c>
      <c r="F9" s="184">
        <v>27.4</v>
      </c>
      <c r="G9" s="184">
        <v>29.4</v>
      </c>
      <c r="H9" s="184">
        <v>33.299999999999997</v>
      </c>
    </row>
    <row r="10" spans="1:9" x14ac:dyDescent="0.25">
      <c r="B10" t="s">
        <v>383</v>
      </c>
      <c r="C10" s="184">
        <v>44</v>
      </c>
      <c r="D10" s="184">
        <v>43</v>
      </c>
      <c r="E10" s="184">
        <v>46</v>
      </c>
      <c r="F10" s="184">
        <v>27.3</v>
      </c>
      <c r="G10" s="184">
        <v>38</v>
      </c>
      <c r="H10" s="184">
        <v>65.5</v>
      </c>
    </row>
    <row r="11" spans="1:9" x14ac:dyDescent="0.25">
      <c r="B11" s="3" t="s">
        <v>384</v>
      </c>
      <c r="C11" s="352">
        <v>0</v>
      </c>
      <c r="D11" s="352">
        <v>0</v>
      </c>
      <c r="E11" s="352">
        <v>0</v>
      </c>
      <c r="F11" s="352">
        <v>794.5</v>
      </c>
      <c r="G11" s="352">
        <v>1464.2</v>
      </c>
      <c r="H11" s="352">
        <v>0</v>
      </c>
      <c r="I11" t="s">
        <v>415</v>
      </c>
    </row>
    <row r="12" spans="1:9" x14ac:dyDescent="0.25">
      <c r="A12" t="s">
        <v>89</v>
      </c>
      <c r="B12" s="5" t="s">
        <v>1</v>
      </c>
      <c r="C12" s="184">
        <v>725</v>
      </c>
      <c r="D12" s="184">
        <v>797</v>
      </c>
      <c r="E12" s="184">
        <v>1438</v>
      </c>
      <c r="F12" s="184">
        <v>1037.0999999999999</v>
      </c>
      <c r="G12" s="184">
        <v>1621.1</v>
      </c>
      <c r="H12" s="184">
        <v>936.7</v>
      </c>
    </row>
    <row r="13" spans="1:9" x14ac:dyDescent="0.25">
      <c r="C13" s="184"/>
      <c r="D13" s="184"/>
      <c r="E13" s="184"/>
      <c r="F13" s="184"/>
      <c r="G13" s="184"/>
      <c r="H13" s="184"/>
    </row>
    <row r="14" spans="1:9" x14ac:dyDescent="0.25">
      <c r="A14" t="s">
        <v>89</v>
      </c>
      <c r="B14" s="5" t="s">
        <v>385</v>
      </c>
      <c r="C14" s="184"/>
      <c r="D14" s="184"/>
      <c r="E14" s="184"/>
      <c r="F14" s="184"/>
      <c r="G14" s="184"/>
      <c r="H14" s="184"/>
    </row>
    <row r="15" spans="1:9" x14ac:dyDescent="0.25">
      <c r="B15" t="s">
        <v>386</v>
      </c>
      <c r="C15" s="18">
        <v>0</v>
      </c>
      <c r="D15" s="18">
        <v>0</v>
      </c>
      <c r="E15" s="18">
        <v>261</v>
      </c>
      <c r="F15" s="18">
        <v>226.1</v>
      </c>
      <c r="G15" s="18">
        <v>248.1</v>
      </c>
      <c r="H15" s="18">
        <v>266.5</v>
      </c>
    </row>
    <row r="16" spans="1:9" x14ac:dyDescent="0.25">
      <c r="B16" t="s">
        <v>387</v>
      </c>
      <c r="C16" s="184">
        <v>420</v>
      </c>
      <c r="D16" s="184">
        <v>498</v>
      </c>
      <c r="E16" s="184">
        <v>613</v>
      </c>
      <c r="F16" s="184">
        <v>559.79999999999995</v>
      </c>
      <c r="G16" s="184">
        <v>668.6</v>
      </c>
      <c r="H16" s="184">
        <v>818.3</v>
      </c>
    </row>
    <row r="17" spans="1:9" x14ac:dyDescent="0.25">
      <c r="B17" t="s">
        <v>388</v>
      </c>
      <c r="C17" s="184">
        <v>31</v>
      </c>
      <c r="D17" s="184">
        <v>34</v>
      </c>
      <c r="E17" s="184">
        <v>44</v>
      </c>
      <c r="F17" s="184">
        <v>0</v>
      </c>
      <c r="G17" s="184">
        <v>0</v>
      </c>
      <c r="H17" s="184">
        <v>0</v>
      </c>
    </row>
    <row r="18" spans="1:9" x14ac:dyDescent="0.25">
      <c r="B18" t="s">
        <v>389</v>
      </c>
      <c r="C18" s="184">
        <v>138</v>
      </c>
      <c r="D18" s="184">
        <v>123</v>
      </c>
      <c r="E18" s="184">
        <v>34</v>
      </c>
      <c r="F18" s="184">
        <v>0</v>
      </c>
      <c r="G18" s="184">
        <v>0</v>
      </c>
      <c r="H18" s="184">
        <v>0</v>
      </c>
    </row>
    <row r="19" spans="1:9" x14ac:dyDescent="0.25">
      <c r="B19" t="s">
        <v>390</v>
      </c>
      <c r="C19" s="184">
        <v>448</v>
      </c>
      <c r="D19" s="184">
        <v>504</v>
      </c>
      <c r="E19" s="184">
        <v>529</v>
      </c>
      <c r="F19" s="184">
        <v>642.20000000000005</v>
      </c>
      <c r="G19" s="184">
        <v>663.1</v>
      </c>
      <c r="H19" s="184">
        <v>680.6</v>
      </c>
    </row>
    <row r="20" spans="1:9" x14ac:dyDescent="0.25">
      <c r="B20" t="s">
        <v>391</v>
      </c>
      <c r="C20" s="184">
        <v>92</v>
      </c>
      <c r="D20" s="184">
        <v>108</v>
      </c>
      <c r="E20" s="184">
        <v>132</v>
      </c>
      <c r="F20" s="184">
        <v>163.1</v>
      </c>
      <c r="G20" s="184">
        <v>215.9</v>
      </c>
      <c r="H20" s="184">
        <v>187.8</v>
      </c>
    </row>
    <row r="21" spans="1:9" x14ac:dyDescent="0.25">
      <c r="B21" s="3" t="s">
        <v>392</v>
      </c>
      <c r="C21" s="352">
        <v>0</v>
      </c>
      <c r="D21" s="352">
        <v>0</v>
      </c>
      <c r="E21" s="352">
        <v>0</v>
      </c>
      <c r="F21" s="352">
        <v>562.70000000000005</v>
      </c>
      <c r="G21" s="352">
        <v>0</v>
      </c>
      <c r="H21" s="352">
        <v>0</v>
      </c>
      <c r="I21" t="s">
        <v>415</v>
      </c>
    </row>
    <row r="22" spans="1:9" x14ac:dyDescent="0.25">
      <c r="A22" t="s">
        <v>89</v>
      </c>
      <c r="B22" s="5" t="s">
        <v>393</v>
      </c>
      <c r="C22" s="184">
        <v>1854</v>
      </c>
      <c r="D22" s="184">
        <v>2064</v>
      </c>
      <c r="E22" s="184">
        <v>3051</v>
      </c>
      <c r="F22" s="184">
        <v>3191</v>
      </c>
      <c r="G22" s="184">
        <v>3416.8</v>
      </c>
      <c r="H22" s="184">
        <v>2889.9</v>
      </c>
    </row>
    <row r="23" spans="1:9" x14ac:dyDescent="0.25">
      <c r="C23" s="184"/>
      <c r="D23" s="184"/>
      <c r="E23" s="184"/>
      <c r="F23" s="184"/>
      <c r="G23" s="184"/>
      <c r="H23" s="184"/>
    </row>
    <row r="24" spans="1:9" x14ac:dyDescent="0.25">
      <c r="A24" t="s">
        <v>89</v>
      </c>
      <c r="B24" s="5" t="s">
        <v>394</v>
      </c>
      <c r="C24" s="184"/>
      <c r="D24" s="184"/>
      <c r="E24" s="184"/>
      <c r="F24" s="184"/>
      <c r="G24" s="184"/>
      <c r="H24" s="184"/>
    </row>
    <row r="25" spans="1:9" x14ac:dyDescent="0.25">
      <c r="B25" t="s">
        <v>395</v>
      </c>
      <c r="C25" s="18">
        <v>178</v>
      </c>
      <c r="D25" s="18">
        <v>171</v>
      </c>
      <c r="E25" s="18">
        <v>189</v>
      </c>
      <c r="F25" s="18">
        <v>38.6</v>
      </c>
      <c r="G25" s="18">
        <v>45</v>
      </c>
      <c r="H25" s="18">
        <v>118.7</v>
      </c>
    </row>
    <row r="26" spans="1:9" x14ac:dyDescent="0.25">
      <c r="B26" t="s">
        <v>396</v>
      </c>
      <c r="C26" s="184">
        <v>203</v>
      </c>
      <c r="D26" s="184">
        <v>237</v>
      </c>
      <c r="E26" s="184">
        <v>255</v>
      </c>
      <c r="F26" s="184">
        <v>139.19999999999999</v>
      </c>
      <c r="G26" s="184">
        <v>172.6</v>
      </c>
      <c r="H26" s="184">
        <v>215.9</v>
      </c>
    </row>
    <row r="27" spans="1:9" x14ac:dyDescent="0.25">
      <c r="B27" t="s">
        <v>397</v>
      </c>
      <c r="C27" s="184">
        <v>30</v>
      </c>
      <c r="D27" s="184">
        <v>15</v>
      </c>
      <c r="E27" s="184">
        <v>0</v>
      </c>
      <c r="F27" s="184">
        <v>15</v>
      </c>
      <c r="G27" s="184">
        <v>162.5</v>
      </c>
      <c r="H27" s="184">
        <v>23.8</v>
      </c>
    </row>
    <row r="28" spans="1:9" x14ac:dyDescent="0.25">
      <c r="B28" s="3" t="s">
        <v>398</v>
      </c>
      <c r="C28" s="352">
        <v>0</v>
      </c>
      <c r="D28" s="352">
        <v>0</v>
      </c>
      <c r="E28" s="352">
        <v>0</v>
      </c>
      <c r="F28" s="352">
        <v>375.9</v>
      </c>
      <c r="G28" s="352">
        <v>539.29999999999995</v>
      </c>
      <c r="H28" s="352">
        <v>3.9</v>
      </c>
      <c r="I28" t="s">
        <v>415</v>
      </c>
    </row>
    <row r="29" spans="1:9" x14ac:dyDescent="0.25">
      <c r="A29" t="s">
        <v>89</v>
      </c>
      <c r="B29" s="5" t="s">
        <v>2</v>
      </c>
      <c r="C29" s="184">
        <v>411</v>
      </c>
      <c r="D29" s="184">
        <v>423</v>
      </c>
      <c r="E29" s="184">
        <v>444</v>
      </c>
      <c r="F29" s="184">
        <v>568.70000000000005</v>
      </c>
      <c r="G29" s="184">
        <v>919.4</v>
      </c>
      <c r="H29" s="184">
        <v>362.3</v>
      </c>
    </row>
    <row r="30" spans="1:9" x14ac:dyDescent="0.25">
      <c r="C30" s="184"/>
      <c r="D30" s="184"/>
      <c r="E30" s="184"/>
      <c r="F30" s="184"/>
      <c r="G30" s="184"/>
      <c r="H30" s="184"/>
    </row>
    <row r="31" spans="1:9" x14ac:dyDescent="0.25">
      <c r="A31" t="s">
        <v>89</v>
      </c>
      <c r="B31" s="5" t="s">
        <v>399</v>
      </c>
      <c r="C31" s="184"/>
      <c r="D31" s="184"/>
      <c r="E31" s="184"/>
      <c r="F31" s="184"/>
      <c r="G31" s="184"/>
      <c r="H31" s="184"/>
    </row>
    <row r="32" spans="1:9" x14ac:dyDescent="0.25">
      <c r="B32" t="s">
        <v>400</v>
      </c>
      <c r="C32" s="18">
        <v>1292</v>
      </c>
      <c r="D32" s="18">
        <v>1327</v>
      </c>
      <c r="E32" s="18">
        <v>1962</v>
      </c>
      <c r="F32" s="18">
        <v>1639.7</v>
      </c>
      <c r="G32" s="18">
        <v>1525.1</v>
      </c>
      <c r="H32" s="18">
        <v>1562.3</v>
      </c>
    </row>
    <row r="33" spans="1:9" x14ac:dyDescent="0.25">
      <c r="B33" t="s">
        <v>401</v>
      </c>
      <c r="C33" s="184">
        <v>0</v>
      </c>
      <c r="D33" s="184">
        <v>0</v>
      </c>
      <c r="E33" s="184">
        <v>231</v>
      </c>
      <c r="F33" s="184">
        <v>208</v>
      </c>
      <c r="G33" s="184">
        <v>229.2</v>
      </c>
      <c r="H33" s="184">
        <v>247.3</v>
      </c>
    </row>
    <row r="34" spans="1:9" x14ac:dyDescent="0.25">
      <c r="B34" t="s">
        <v>402</v>
      </c>
      <c r="C34" s="184">
        <v>333</v>
      </c>
      <c r="D34" s="184">
        <v>387</v>
      </c>
      <c r="E34" s="184">
        <v>317</v>
      </c>
      <c r="F34" s="184">
        <v>245.1</v>
      </c>
      <c r="G34" s="184">
        <v>199.4</v>
      </c>
      <c r="H34" s="184">
        <v>168</v>
      </c>
    </row>
    <row r="35" spans="1:9" x14ac:dyDescent="0.25">
      <c r="B35" t="s">
        <v>389</v>
      </c>
      <c r="C35" s="184">
        <v>0</v>
      </c>
      <c r="D35" s="184">
        <v>0</v>
      </c>
      <c r="E35" s="184">
        <v>1</v>
      </c>
      <c r="F35" s="184">
        <v>0</v>
      </c>
      <c r="G35" s="184">
        <v>0</v>
      </c>
      <c r="H35" s="184">
        <v>0</v>
      </c>
    </row>
    <row r="36" spans="1:9" x14ac:dyDescent="0.25">
      <c r="B36" t="s">
        <v>403</v>
      </c>
      <c r="C36" s="184">
        <v>176</v>
      </c>
      <c r="D36" s="184">
        <v>185</v>
      </c>
      <c r="E36" s="184">
        <v>172</v>
      </c>
      <c r="F36" s="184">
        <v>262.5</v>
      </c>
      <c r="G36" s="184">
        <v>237.1</v>
      </c>
      <c r="H36" s="184">
        <v>346.8</v>
      </c>
    </row>
    <row r="37" spans="1:9" x14ac:dyDescent="0.25">
      <c r="B37" t="s">
        <v>404</v>
      </c>
      <c r="C37" s="184">
        <v>0</v>
      </c>
      <c r="D37" s="184">
        <v>0</v>
      </c>
      <c r="E37" s="184">
        <v>0</v>
      </c>
      <c r="F37" s="184">
        <v>132.5</v>
      </c>
      <c r="G37" s="184">
        <v>0</v>
      </c>
      <c r="H37" s="184">
        <v>0</v>
      </c>
      <c r="I37" t="s">
        <v>415</v>
      </c>
    </row>
    <row r="38" spans="1:9" x14ac:dyDescent="0.25">
      <c r="C38" s="184"/>
      <c r="D38" s="184"/>
      <c r="E38" s="184"/>
      <c r="F38" s="184"/>
      <c r="G38" s="184"/>
      <c r="H38" s="184"/>
    </row>
    <row r="39" spans="1:9" x14ac:dyDescent="0.25">
      <c r="A39" t="s">
        <v>89</v>
      </c>
      <c r="B39" s="5" t="s">
        <v>405</v>
      </c>
      <c r="C39" s="184"/>
      <c r="D39" s="184"/>
      <c r="E39" s="184"/>
      <c r="F39" s="184"/>
      <c r="G39" s="184"/>
      <c r="H39" s="184"/>
    </row>
    <row r="40" spans="1:9" x14ac:dyDescent="0.25">
      <c r="B40" t="s">
        <v>406</v>
      </c>
      <c r="C40" s="18">
        <v>2</v>
      </c>
      <c r="D40" s="18">
        <v>2</v>
      </c>
      <c r="E40" s="18">
        <v>2</v>
      </c>
      <c r="F40" s="18">
        <v>1.8</v>
      </c>
      <c r="G40" s="18">
        <v>1.8</v>
      </c>
      <c r="H40" s="18">
        <v>1.3</v>
      </c>
    </row>
    <row r="41" spans="1:9" x14ac:dyDescent="0.25">
      <c r="B41" t="s">
        <v>407</v>
      </c>
      <c r="C41" s="184">
        <v>7</v>
      </c>
      <c r="D41" s="184">
        <v>13</v>
      </c>
      <c r="E41" s="184">
        <v>24</v>
      </c>
      <c r="F41" s="184">
        <v>35.200000000000003</v>
      </c>
      <c r="G41" s="184">
        <v>44.1</v>
      </c>
      <c r="H41" s="184">
        <v>48</v>
      </c>
    </row>
    <row r="42" spans="1:9" x14ac:dyDescent="0.25">
      <c r="B42" t="s">
        <v>408</v>
      </c>
      <c r="C42" s="184">
        <v>0</v>
      </c>
      <c r="D42" s="184">
        <v>0</v>
      </c>
      <c r="E42" s="184">
        <v>0</v>
      </c>
      <c r="F42" s="184">
        <v>90</v>
      </c>
      <c r="G42" s="184">
        <v>282</v>
      </c>
      <c r="H42" s="184">
        <v>140.69999999999999</v>
      </c>
    </row>
    <row r="43" spans="1:9" x14ac:dyDescent="0.25">
      <c r="B43" t="s">
        <v>409</v>
      </c>
      <c r="C43" s="184">
        <v>-399</v>
      </c>
      <c r="D43" s="184">
        <v>-284</v>
      </c>
      <c r="E43" s="184">
        <v>0</v>
      </c>
      <c r="F43" s="184">
        <v>0</v>
      </c>
      <c r="G43" s="184">
        <v>0</v>
      </c>
      <c r="H43" s="184">
        <v>0</v>
      </c>
    </row>
    <row r="44" spans="1:9" x14ac:dyDescent="0.25">
      <c r="B44" t="s">
        <v>410</v>
      </c>
      <c r="C44" s="184">
        <v>0</v>
      </c>
      <c r="D44" s="184">
        <v>0</v>
      </c>
      <c r="E44" s="184">
        <v>-110</v>
      </c>
      <c r="F44" s="184">
        <v>0</v>
      </c>
      <c r="G44" s="184">
        <v>0</v>
      </c>
      <c r="H44" s="184">
        <v>0</v>
      </c>
    </row>
    <row r="45" spans="1:9" x14ac:dyDescent="0.25">
      <c r="B45" t="s">
        <v>411</v>
      </c>
      <c r="C45" s="184">
        <v>32</v>
      </c>
      <c r="D45" s="184">
        <v>11</v>
      </c>
      <c r="E45" s="184">
        <v>8</v>
      </c>
      <c r="F45" s="184">
        <v>7.5</v>
      </c>
      <c r="G45" s="184">
        <v>-21.3</v>
      </c>
      <c r="H45" s="184">
        <v>13.2</v>
      </c>
    </row>
    <row r="46" spans="1:9" x14ac:dyDescent="0.25">
      <c r="B46" s="3" t="s">
        <v>412</v>
      </c>
      <c r="C46" s="352">
        <v>-358</v>
      </c>
      <c r="D46" s="352">
        <v>-258</v>
      </c>
      <c r="E46" s="352">
        <v>-76</v>
      </c>
      <c r="F46" s="352">
        <v>134.5</v>
      </c>
      <c r="G46" s="352">
        <v>306.60000000000002</v>
      </c>
      <c r="H46" s="352">
        <v>203.2</v>
      </c>
    </row>
    <row r="47" spans="1:9" x14ac:dyDescent="0.25">
      <c r="A47" t="s">
        <v>89</v>
      </c>
      <c r="B47" s="5" t="s">
        <v>413</v>
      </c>
      <c r="C47" s="184">
        <v>1854</v>
      </c>
      <c r="D47" s="184">
        <v>2064</v>
      </c>
      <c r="E47" s="184">
        <v>3051</v>
      </c>
      <c r="F47" s="184">
        <v>3191</v>
      </c>
      <c r="G47" s="184">
        <v>3416.8</v>
      </c>
      <c r="H47" s="184">
        <v>2889.9</v>
      </c>
    </row>
    <row r="49" spans="1:9" x14ac:dyDescent="0.25">
      <c r="A49" t="s">
        <v>108</v>
      </c>
      <c r="B49" s="261" t="s">
        <v>414</v>
      </c>
      <c r="C49" s="182"/>
      <c r="D49" s="182"/>
      <c r="E49" s="182"/>
      <c r="F49" s="182"/>
      <c r="G49" s="182"/>
      <c r="H49" s="317"/>
    </row>
    <row r="50" spans="1:9" x14ac:dyDescent="0.25">
      <c r="B50" s="198" t="s">
        <v>11</v>
      </c>
      <c r="C50" s="372">
        <f>+'Income Statement'!C5</f>
        <v>2285</v>
      </c>
      <c r="D50" s="372">
        <f>+'Income Statement'!D5</f>
        <v>2390</v>
      </c>
      <c r="E50" s="372">
        <f>+'Income Statement'!E5</f>
        <v>727</v>
      </c>
      <c r="F50" s="372">
        <f>+'Income Statement'!F5</f>
        <v>1037.2</v>
      </c>
      <c r="G50" s="372">
        <f>+'Income Statement'!G5</f>
        <v>1236.0999999999999</v>
      </c>
      <c r="H50" s="373">
        <f>+'Income Statement'!H5</f>
        <v>1443.5</v>
      </c>
    </row>
    <row r="51" spans="1:9" x14ac:dyDescent="0.25">
      <c r="B51" s="260" t="s">
        <v>186</v>
      </c>
      <c r="C51" s="374">
        <f>+'Income Statement'!C9</f>
        <v>1479</v>
      </c>
      <c r="D51" s="374">
        <f>+'Income Statement'!D9</f>
        <v>1580</v>
      </c>
      <c r="E51" s="374">
        <f>+'Income Statement'!E9</f>
        <v>426</v>
      </c>
      <c r="F51" s="374">
        <f>+'Income Statement'!F9</f>
        <v>604.9</v>
      </c>
      <c r="G51" s="374">
        <f>+'Income Statement'!G9</f>
        <v>759.7</v>
      </c>
      <c r="H51" s="375">
        <f>+'Income Statement'!H9</f>
        <v>899</v>
      </c>
    </row>
    <row r="53" spans="1:9" x14ac:dyDescent="0.25">
      <c r="A53" t="s">
        <v>108</v>
      </c>
      <c r="B53" s="261" t="s">
        <v>427</v>
      </c>
      <c r="C53" s="182"/>
      <c r="D53" s="182"/>
      <c r="E53" s="182"/>
      <c r="F53" s="182"/>
      <c r="G53" s="182"/>
      <c r="H53" s="317"/>
    </row>
    <row r="54" spans="1:9" x14ac:dyDescent="0.25">
      <c r="B54" s="376" t="s">
        <v>379</v>
      </c>
      <c r="C54" s="348">
        <f>+C6</f>
        <v>96</v>
      </c>
      <c r="D54" s="348">
        <f t="shared" ref="D54:H54" si="0">+D6</f>
        <v>159</v>
      </c>
      <c r="E54" s="348">
        <f t="shared" si="0"/>
        <v>760</v>
      </c>
      <c r="F54" s="348">
        <f t="shared" si="0"/>
        <v>122.6</v>
      </c>
      <c r="G54" s="348">
        <f t="shared" si="0"/>
        <v>23.4</v>
      </c>
      <c r="H54" s="183">
        <f t="shared" si="0"/>
        <v>409.1</v>
      </c>
    </row>
    <row r="55" spans="1:9" x14ac:dyDescent="0.25">
      <c r="B55" s="376" t="s">
        <v>380</v>
      </c>
      <c r="C55" s="346">
        <f t="shared" ref="C55:H58" si="1">+C7</f>
        <v>0</v>
      </c>
      <c r="D55" s="346">
        <f t="shared" si="1"/>
        <v>0</v>
      </c>
      <c r="E55" s="346">
        <f t="shared" si="1"/>
        <v>0</v>
      </c>
      <c r="F55" s="346">
        <f t="shared" si="1"/>
        <v>0</v>
      </c>
      <c r="G55" s="346">
        <f t="shared" si="1"/>
        <v>0</v>
      </c>
      <c r="H55" s="185">
        <f t="shared" si="1"/>
        <v>347.5</v>
      </c>
      <c r="I55" t="s">
        <v>426</v>
      </c>
    </row>
    <row r="56" spans="1:9" x14ac:dyDescent="0.25">
      <c r="B56" s="376" t="s">
        <v>381</v>
      </c>
      <c r="C56" s="346">
        <f t="shared" si="1"/>
        <v>409</v>
      </c>
      <c r="D56" s="346">
        <f t="shared" si="1"/>
        <v>401</v>
      </c>
      <c r="E56" s="346">
        <f t="shared" si="1"/>
        <v>433</v>
      </c>
      <c r="F56" s="346">
        <f t="shared" si="1"/>
        <v>65.3</v>
      </c>
      <c r="G56" s="346">
        <f t="shared" si="1"/>
        <v>66.099999999999994</v>
      </c>
      <c r="H56" s="185">
        <f t="shared" si="1"/>
        <v>81.3</v>
      </c>
    </row>
    <row r="57" spans="1:9" x14ac:dyDescent="0.25">
      <c r="B57" s="376" t="s">
        <v>382</v>
      </c>
      <c r="C57" s="346">
        <f t="shared" si="1"/>
        <v>176</v>
      </c>
      <c r="D57" s="346">
        <f t="shared" si="1"/>
        <v>194</v>
      </c>
      <c r="E57" s="346">
        <f t="shared" si="1"/>
        <v>199</v>
      </c>
      <c r="F57" s="346">
        <f t="shared" si="1"/>
        <v>27.4</v>
      </c>
      <c r="G57" s="346">
        <f t="shared" si="1"/>
        <v>29.4</v>
      </c>
      <c r="H57" s="185">
        <f t="shared" si="1"/>
        <v>33.299999999999997</v>
      </c>
    </row>
    <row r="58" spans="1:9" x14ac:dyDescent="0.25">
      <c r="B58" s="376" t="s">
        <v>383</v>
      </c>
      <c r="C58" s="346">
        <f t="shared" si="1"/>
        <v>44</v>
      </c>
      <c r="D58" s="346">
        <f t="shared" si="1"/>
        <v>43</v>
      </c>
      <c r="E58" s="346">
        <f t="shared" si="1"/>
        <v>46</v>
      </c>
      <c r="F58" s="346">
        <f t="shared" si="1"/>
        <v>27.3</v>
      </c>
      <c r="G58" s="346">
        <f t="shared" si="1"/>
        <v>38</v>
      </c>
      <c r="H58" s="185">
        <f t="shared" si="1"/>
        <v>65.5</v>
      </c>
    </row>
    <row r="59" spans="1:9" x14ac:dyDescent="0.25">
      <c r="B59" s="377" t="s">
        <v>378</v>
      </c>
      <c r="C59" s="311">
        <f>+SUM(C6:C10)</f>
        <v>725</v>
      </c>
      <c r="D59" s="311">
        <f t="shared" ref="D59:H59" si="2">+SUM(D6:D10)</f>
        <v>797</v>
      </c>
      <c r="E59" s="311">
        <f t="shared" si="2"/>
        <v>1438</v>
      </c>
      <c r="F59" s="311">
        <f t="shared" si="2"/>
        <v>242.6</v>
      </c>
      <c r="G59" s="311">
        <f t="shared" si="2"/>
        <v>156.9</v>
      </c>
      <c r="H59" s="378">
        <f t="shared" si="2"/>
        <v>936.69999999999993</v>
      </c>
    </row>
    <row r="60" spans="1:9" x14ac:dyDescent="0.25">
      <c r="B60" s="379" t="s">
        <v>416</v>
      </c>
      <c r="C60" s="311"/>
      <c r="D60" s="311"/>
      <c r="E60" s="311"/>
      <c r="F60" s="311"/>
      <c r="G60" s="311"/>
      <c r="H60" s="378"/>
    </row>
    <row r="61" spans="1:9" x14ac:dyDescent="0.25">
      <c r="B61" s="379"/>
      <c r="C61" s="311"/>
      <c r="D61" s="311"/>
      <c r="E61" s="311"/>
      <c r="F61" s="311"/>
      <c r="G61" s="311"/>
      <c r="H61" s="378"/>
    </row>
    <row r="62" spans="1:9" x14ac:dyDescent="0.25">
      <c r="B62" s="198" t="s">
        <v>395</v>
      </c>
      <c r="C62" s="380">
        <f t="shared" ref="C62:H64" si="3">+C25</f>
        <v>178</v>
      </c>
      <c r="D62" s="380">
        <f t="shared" si="3"/>
        <v>171</v>
      </c>
      <c r="E62" s="380">
        <f t="shared" si="3"/>
        <v>189</v>
      </c>
      <c r="F62" s="380">
        <f t="shared" si="3"/>
        <v>38.6</v>
      </c>
      <c r="G62" s="380">
        <f t="shared" si="3"/>
        <v>45</v>
      </c>
      <c r="H62" s="381">
        <f t="shared" si="3"/>
        <v>118.7</v>
      </c>
    </row>
    <row r="63" spans="1:9" x14ac:dyDescent="0.25">
      <c r="B63" s="198" t="s">
        <v>396</v>
      </c>
      <c r="C63" s="346">
        <f t="shared" si="3"/>
        <v>203</v>
      </c>
      <c r="D63" s="346">
        <f t="shared" si="3"/>
        <v>237</v>
      </c>
      <c r="E63" s="346">
        <f t="shared" si="3"/>
        <v>255</v>
      </c>
      <c r="F63" s="346">
        <f t="shared" si="3"/>
        <v>139.19999999999999</v>
      </c>
      <c r="G63" s="346">
        <f t="shared" si="3"/>
        <v>172.6</v>
      </c>
      <c r="H63" s="185">
        <f t="shared" si="3"/>
        <v>215.9</v>
      </c>
    </row>
    <row r="64" spans="1:9" x14ac:dyDescent="0.25">
      <c r="B64" s="198" t="s">
        <v>397</v>
      </c>
      <c r="C64" s="346">
        <f t="shared" si="3"/>
        <v>30</v>
      </c>
      <c r="D64" s="346">
        <f t="shared" si="3"/>
        <v>15</v>
      </c>
      <c r="E64" s="346">
        <f t="shared" si="3"/>
        <v>0</v>
      </c>
      <c r="F64" s="346">
        <f t="shared" si="3"/>
        <v>15</v>
      </c>
      <c r="G64" s="346">
        <f t="shared" si="3"/>
        <v>162.5</v>
      </c>
      <c r="H64" s="185">
        <f t="shared" si="3"/>
        <v>23.8</v>
      </c>
    </row>
    <row r="65" spans="2:14" x14ac:dyDescent="0.25">
      <c r="B65" s="377" t="s">
        <v>394</v>
      </c>
      <c r="C65" s="311">
        <f t="shared" ref="C65:H65" si="4">+SUM(C25:C27)</f>
        <v>411</v>
      </c>
      <c r="D65" s="311">
        <f t="shared" si="4"/>
        <v>423</v>
      </c>
      <c r="E65" s="311">
        <f t="shared" si="4"/>
        <v>444</v>
      </c>
      <c r="F65" s="311">
        <f t="shared" si="4"/>
        <v>192.79999999999998</v>
      </c>
      <c r="G65" s="311">
        <f t="shared" si="4"/>
        <v>380.1</v>
      </c>
      <c r="H65" s="378">
        <f t="shared" si="4"/>
        <v>358.40000000000003</v>
      </c>
    </row>
    <row r="66" spans="2:14" x14ac:dyDescent="0.25">
      <c r="B66" s="379" t="s">
        <v>416</v>
      </c>
      <c r="C66" s="311"/>
      <c r="D66" s="311"/>
      <c r="E66" s="311"/>
      <c r="F66" s="311"/>
      <c r="G66" s="311"/>
      <c r="H66" s="378"/>
    </row>
    <row r="67" spans="2:14" x14ac:dyDescent="0.25">
      <c r="B67" s="198"/>
      <c r="C67" s="297"/>
      <c r="D67" s="297"/>
      <c r="E67" s="297"/>
      <c r="F67" s="297"/>
      <c r="G67" s="297"/>
      <c r="H67" s="148"/>
    </row>
    <row r="68" spans="2:14" x14ac:dyDescent="0.25">
      <c r="B68" s="377" t="s">
        <v>277</v>
      </c>
      <c r="C68" s="311">
        <f t="shared" ref="C68:H68" si="5">+C59-C65</f>
        <v>314</v>
      </c>
      <c r="D68" s="311">
        <f t="shared" si="5"/>
        <v>374</v>
      </c>
      <c r="E68" s="311">
        <f t="shared" si="5"/>
        <v>994</v>
      </c>
      <c r="F68" s="311">
        <f t="shared" si="5"/>
        <v>49.800000000000011</v>
      </c>
      <c r="G68" s="311">
        <f t="shared" si="5"/>
        <v>-223.20000000000002</v>
      </c>
      <c r="H68" s="378">
        <f t="shared" si="5"/>
        <v>578.29999999999995</v>
      </c>
      <c r="I68" s="18"/>
      <c r="J68" s="18"/>
      <c r="K68" s="18"/>
      <c r="L68" s="18"/>
      <c r="M68" s="18"/>
      <c r="N68" s="18"/>
    </row>
    <row r="69" spans="2:14" x14ac:dyDescent="0.25">
      <c r="B69" s="382" t="s">
        <v>417</v>
      </c>
      <c r="C69" s="346"/>
      <c r="D69" s="346">
        <f>+D68-C68</f>
        <v>60</v>
      </c>
      <c r="E69" s="346">
        <f t="shared" ref="E69:H69" si="6">+E68-D68</f>
        <v>620</v>
      </c>
      <c r="F69" s="346">
        <f t="shared" si="6"/>
        <v>-944.2</v>
      </c>
      <c r="G69" s="346">
        <f t="shared" si="6"/>
        <v>-273</v>
      </c>
      <c r="H69" s="185">
        <f t="shared" si="6"/>
        <v>801.5</v>
      </c>
      <c r="I69" s="18"/>
      <c r="J69" s="18"/>
      <c r="K69" s="18"/>
      <c r="L69" s="18"/>
      <c r="M69" s="18"/>
      <c r="N69" s="18"/>
    </row>
    <row r="70" spans="2:14" x14ac:dyDescent="0.25">
      <c r="B70" s="198"/>
      <c r="C70" s="297"/>
      <c r="D70" s="297"/>
      <c r="E70" s="297"/>
      <c r="F70" s="297"/>
      <c r="G70" s="297"/>
      <c r="H70" s="148"/>
    </row>
    <row r="71" spans="2:14" x14ac:dyDescent="0.25">
      <c r="B71" s="376" t="s">
        <v>418</v>
      </c>
      <c r="C71" s="123">
        <f t="shared" ref="C71:H72" si="7">+C54/C$50</f>
        <v>4.2013129102844639E-2</v>
      </c>
      <c r="D71" s="123">
        <f t="shared" si="7"/>
        <v>6.6527196652719667E-2</v>
      </c>
      <c r="E71" s="123">
        <f t="shared" si="7"/>
        <v>1.0453920220082531</v>
      </c>
      <c r="F71" s="123">
        <f t="shared" si="7"/>
        <v>0.11820285383725414</v>
      </c>
      <c r="G71" s="123">
        <f t="shared" si="7"/>
        <v>1.8930507240514521E-2</v>
      </c>
      <c r="H71" s="383">
        <f t="shared" si="7"/>
        <v>0.2834083824038795</v>
      </c>
    </row>
    <row r="72" spans="2:14" x14ac:dyDescent="0.25">
      <c r="B72" s="376" t="s">
        <v>419</v>
      </c>
      <c r="C72" s="123">
        <f t="shared" si="7"/>
        <v>0</v>
      </c>
      <c r="D72" s="123">
        <f t="shared" si="7"/>
        <v>0</v>
      </c>
      <c r="E72" s="123">
        <f t="shared" si="7"/>
        <v>0</v>
      </c>
      <c r="F72" s="123">
        <f t="shared" si="7"/>
        <v>0</v>
      </c>
      <c r="G72" s="123">
        <f t="shared" si="7"/>
        <v>0</v>
      </c>
      <c r="H72" s="383">
        <f t="shared" si="7"/>
        <v>0.24073432629026673</v>
      </c>
    </row>
    <row r="73" spans="2:14" x14ac:dyDescent="0.25">
      <c r="B73" s="376" t="s">
        <v>420</v>
      </c>
      <c r="C73" s="123">
        <f t="shared" ref="C73:H75" si="8">+C56/C$51</f>
        <v>0.27653820148749153</v>
      </c>
      <c r="D73" s="123">
        <f t="shared" si="8"/>
        <v>0.2537974683544304</v>
      </c>
      <c r="E73" s="123">
        <f t="shared" si="8"/>
        <v>1.016431924882629</v>
      </c>
      <c r="F73" s="123">
        <f t="shared" si="8"/>
        <v>0.10795172755827409</v>
      </c>
      <c r="G73" s="123">
        <f t="shared" si="8"/>
        <v>8.7008029485323143E-2</v>
      </c>
      <c r="H73" s="383">
        <f t="shared" si="8"/>
        <v>9.0433815350389316E-2</v>
      </c>
    </row>
    <row r="74" spans="2:14" x14ac:dyDescent="0.25">
      <c r="B74" s="376" t="s">
        <v>421</v>
      </c>
      <c r="C74" s="123">
        <f t="shared" si="8"/>
        <v>0.11899932386747802</v>
      </c>
      <c r="D74" s="123">
        <f t="shared" si="8"/>
        <v>0.12278481012658228</v>
      </c>
      <c r="E74" s="123">
        <f t="shared" si="8"/>
        <v>0.46713615023474181</v>
      </c>
      <c r="F74" s="123">
        <f t="shared" si="8"/>
        <v>4.5296743263349315E-2</v>
      </c>
      <c r="G74" s="123">
        <f t="shared" si="8"/>
        <v>3.8699486639462939E-2</v>
      </c>
      <c r="H74" s="383">
        <f t="shared" si="8"/>
        <v>3.7041156840934369E-2</v>
      </c>
    </row>
    <row r="75" spans="2:14" x14ac:dyDescent="0.25">
      <c r="B75" s="376" t="s">
        <v>422</v>
      </c>
      <c r="C75" s="123">
        <f t="shared" si="8"/>
        <v>2.9749830966869506E-2</v>
      </c>
      <c r="D75" s="123">
        <f t="shared" si="8"/>
        <v>2.7215189873417721E-2</v>
      </c>
      <c r="E75" s="123">
        <f t="shared" si="8"/>
        <v>0.107981220657277</v>
      </c>
      <c r="F75" s="123">
        <f t="shared" si="8"/>
        <v>4.5131426682096215E-2</v>
      </c>
      <c r="G75" s="123">
        <f t="shared" si="8"/>
        <v>5.0019744636040538E-2</v>
      </c>
      <c r="H75" s="383">
        <f t="shared" si="8"/>
        <v>7.2858731924360404E-2</v>
      </c>
    </row>
    <row r="76" spans="2:14" x14ac:dyDescent="0.25">
      <c r="B76" s="198"/>
      <c r="C76" s="297"/>
      <c r="D76" s="297"/>
      <c r="E76" s="297"/>
      <c r="F76" s="297"/>
      <c r="G76" s="297"/>
      <c r="H76" s="148"/>
    </row>
    <row r="77" spans="2:14" x14ac:dyDescent="0.25">
      <c r="B77" s="198" t="s">
        <v>423</v>
      </c>
      <c r="C77" s="123">
        <f t="shared" ref="C77:H78" si="9">+C62/C$51</f>
        <v>0.12035158891142664</v>
      </c>
      <c r="D77" s="123">
        <f t="shared" si="9"/>
        <v>0.10822784810126582</v>
      </c>
      <c r="E77" s="123">
        <f t="shared" si="9"/>
        <v>0.44366197183098594</v>
      </c>
      <c r="F77" s="123">
        <f t="shared" si="9"/>
        <v>6.3812200363696489E-2</v>
      </c>
      <c r="G77" s="123">
        <f t="shared" si="9"/>
        <v>5.9233908121626953E-2</v>
      </c>
      <c r="H77" s="383">
        <f t="shared" si="9"/>
        <v>0.13203559510567298</v>
      </c>
    </row>
    <row r="78" spans="2:14" x14ac:dyDescent="0.25">
      <c r="B78" s="198" t="s">
        <v>424</v>
      </c>
      <c r="C78" s="123">
        <f t="shared" si="9"/>
        <v>0.13725490196078433</v>
      </c>
      <c r="D78" s="123">
        <f t="shared" si="9"/>
        <v>0.15</v>
      </c>
      <c r="E78" s="123">
        <f t="shared" si="9"/>
        <v>0.59859154929577463</v>
      </c>
      <c r="F78" s="123">
        <f t="shared" si="9"/>
        <v>0.23012068110431474</v>
      </c>
      <c r="G78" s="123">
        <f t="shared" si="9"/>
        <v>0.22719494537317361</v>
      </c>
      <c r="H78" s="383">
        <f t="shared" si="9"/>
        <v>0.24015572858731926</v>
      </c>
    </row>
    <row r="79" spans="2:14" x14ac:dyDescent="0.25">
      <c r="B79" s="260" t="s">
        <v>425</v>
      </c>
      <c r="C79" s="53">
        <f t="shared" ref="C79:H79" si="10">+C64/C50</f>
        <v>1.3129102844638949E-2</v>
      </c>
      <c r="D79" s="53">
        <f t="shared" si="10"/>
        <v>6.2761506276150627E-3</v>
      </c>
      <c r="E79" s="53">
        <f t="shared" si="10"/>
        <v>0</v>
      </c>
      <c r="F79" s="53">
        <f t="shared" si="10"/>
        <v>1.4462013112225221E-2</v>
      </c>
      <c r="G79" s="53">
        <f t="shared" si="10"/>
        <v>0.13146185583690642</v>
      </c>
      <c r="H79" s="384">
        <f t="shared" si="10"/>
        <v>1.6487703498441288E-2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6A479-CF91-314F-84BD-6BD796EA8DFD}">
  <dimension ref="A1:H53"/>
  <sheetViews>
    <sheetView showGridLines="0" workbookViewId="0">
      <selection activeCell="B1" sqref="B1:H3"/>
    </sheetView>
  </sheetViews>
  <sheetFormatPr defaultColWidth="10.85546875" defaultRowHeight="15" x14ac:dyDescent="0.25"/>
  <cols>
    <col min="1" max="1" width="2.5703125" customWidth="1"/>
    <col min="2" max="2" width="34" customWidth="1"/>
    <col min="3" max="3" width="14" customWidth="1"/>
    <col min="4" max="5" width="14.140625" customWidth="1"/>
    <col min="6" max="6" width="14.5703125" customWidth="1"/>
    <col min="7" max="8" width="14.42578125" customWidth="1"/>
  </cols>
  <sheetData>
    <row r="1" spans="1:8" s="1" customFormat="1" ht="38.1" customHeight="1" x14ac:dyDescent="0.25">
      <c r="A1" s="320"/>
      <c r="B1" s="111" t="s">
        <v>87</v>
      </c>
      <c r="C1" s="321"/>
      <c r="D1" s="321"/>
      <c r="E1" s="321"/>
      <c r="F1" s="321"/>
      <c r="G1" s="321"/>
      <c r="H1" s="321"/>
    </row>
    <row r="2" spans="1:8" s="1" customFormat="1" ht="20.100000000000001" customHeight="1" x14ac:dyDescent="0.25">
      <c r="A2" s="320"/>
      <c r="B2" s="119" t="s">
        <v>53</v>
      </c>
      <c r="C2" s="321"/>
      <c r="D2" s="321"/>
      <c r="E2" s="321"/>
      <c r="F2" s="321"/>
      <c r="G2" s="321"/>
      <c r="H2" s="321"/>
    </row>
    <row r="3" spans="1:8" ht="21.95" customHeight="1" x14ac:dyDescent="0.25">
      <c r="A3" s="320"/>
      <c r="B3" s="322"/>
      <c r="C3" s="323" t="s">
        <v>3</v>
      </c>
      <c r="D3" s="323" t="s">
        <v>4</v>
      </c>
      <c r="E3" s="323" t="s">
        <v>5</v>
      </c>
      <c r="F3" s="323" t="s">
        <v>6</v>
      </c>
      <c r="G3" s="323" t="s">
        <v>7</v>
      </c>
      <c r="H3" s="323" t="s">
        <v>8</v>
      </c>
    </row>
    <row r="4" spans="1:8" x14ac:dyDescent="0.25">
      <c r="A4" s="320"/>
      <c r="B4" s="324" t="s">
        <v>10</v>
      </c>
      <c r="C4" s="325"/>
      <c r="D4" s="325"/>
      <c r="E4" s="325"/>
      <c r="F4" s="325"/>
      <c r="G4" s="325"/>
      <c r="H4" s="325"/>
    </row>
    <row r="5" spans="1:8" x14ac:dyDescent="0.25">
      <c r="A5" s="320" t="s">
        <v>89</v>
      </c>
      <c r="B5" s="324" t="s">
        <v>54</v>
      </c>
      <c r="C5" s="326">
        <v>166</v>
      </c>
      <c r="D5" s="326">
        <v>208</v>
      </c>
      <c r="E5" s="326">
        <v>316.60000000000002</v>
      </c>
      <c r="F5" s="326">
        <v>420.3</v>
      </c>
      <c r="G5" s="326">
        <v>424.3</v>
      </c>
      <c r="H5" s="326">
        <v>1419.7</v>
      </c>
    </row>
    <row r="6" spans="1:8" x14ac:dyDescent="0.25">
      <c r="A6" s="320"/>
      <c r="B6" s="325" t="s">
        <v>18</v>
      </c>
      <c r="C6" s="327">
        <v>54</v>
      </c>
      <c r="D6" s="327">
        <v>61</v>
      </c>
      <c r="E6" s="327">
        <v>40.6</v>
      </c>
      <c r="F6" s="327">
        <v>62.1</v>
      </c>
      <c r="G6" s="327">
        <v>71.400000000000006</v>
      </c>
      <c r="H6" s="327">
        <v>72</v>
      </c>
    </row>
    <row r="7" spans="1:8" x14ac:dyDescent="0.25">
      <c r="A7" s="320"/>
      <c r="B7" s="325" t="s">
        <v>55</v>
      </c>
      <c r="C7" s="327" t="s">
        <v>0</v>
      </c>
      <c r="D7" s="327" t="s">
        <v>0</v>
      </c>
      <c r="E7" s="327" t="s">
        <v>0</v>
      </c>
      <c r="F7" s="327" t="s">
        <v>0</v>
      </c>
      <c r="G7" s="327" t="s">
        <v>0</v>
      </c>
      <c r="H7" s="327">
        <v>16.8</v>
      </c>
    </row>
    <row r="8" spans="1:8" x14ac:dyDescent="0.25">
      <c r="A8" s="320" t="s">
        <v>89</v>
      </c>
      <c r="B8" s="324" t="s">
        <v>56</v>
      </c>
      <c r="C8" s="328">
        <v>54</v>
      </c>
      <c r="D8" s="328">
        <v>61</v>
      </c>
      <c r="E8" s="328">
        <v>40.6</v>
      </c>
      <c r="F8" s="328">
        <v>62.1</v>
      </c>
      <c r="G8" s="328">
        <v>71.400000000000006</v>
      </c>
      <c r="H8" s="328">
        <v>88.8</v>
      </c>
    </row>
    <row r="9" spans="1:8" x14ac:dyDescent="0.25">
      <c r="A9" s="320"/>
      <c r="B9" s="325"/>
      <c r="C9" s="325"/>
      <c r="D9" s="325"/>
      <c r="E9" s="325"/>
      <c r="F9" s="325"/>
      <c r="G9" s="325"/>
      <c r="H9" s="325"/>
    </row>
    <row r="10" spans="1:8" x14ac:dyDescent="0.25">
      <c r="A10" s="320"/>
      <c r="B10" s="325" t="s">
        <v>57</v>
      </c>
      <c r="C10" s="327">
        <v>-4</v>
      </c>
      <c r="D10" s="327" t="s">
        <v>0</v>
      </c>
      <c r="E10" s="327" t="s">
        <v>0</v>
      </c>
      <c r="F10" s="327" t="s">
        <v>0</v>
      </c>
      <c r="G10" s="327" t="s">
        <v>0</v>
      </c>
      <c r="H10" s="327" t="s">
        <v>0</v>
      </c>
    </row>
    <row r="11" spans="1:8" x14ac:dyDescent="0.25">
      <c r="A11" s="320"/>
      <c r="B11" s="325" t="s">
        <v>58</v>
      </c>
      <c r="C11" s="327">
        <v>12</v>
      </c>
      <c r="D11" s="327">
        <v>9</v>
      </c>
      <c r="E11" s="327">
        <v>12.1</v>
      </c>
      <c r="F11" s="327">
        <v>13.7</v>
      </c>
      <c r="G11" s="327">
        <v>14.4</v>
      </c>
      <c r="H11" s="327">
        <v>12.2</v>
      </c>
    </row>
    <row r="12" spans="1:8" x14ac:dyDescent="0.25">
      <c r="A12" s="320"/>
      <c r="B12" s="325" t="s">
        <v>59</v>
      </c>
      <c r="C12" s="327" t="s">
        <v>0</v>
      </c>
      <c r="D12" s="327" t="s">
        <v>0</v>
      </c>
      <c r="E12" s="327">
        <v>244.5</v>
      </c>
      <c r="F12" s="327">
        <v>221.7</v>
      </c>
      <c r="G12" s="327">
        <v>149.80000000000001</v>
      </c>
      <c r="H12" s="327">
        <v>-393.8</v>
      </c>
    </row>
    <row r="13" spans="1:8" x14ac:dyDescent="0.25">
      <c r="A13" s="320"/>
      <c r="B13" s="325" t="s">
        <v>60</v>
      </c>
      <c r="C13" s="327">
        <v>171</v>
      </c>
      <c r="D13" s="327">
        <v>77</v>
      </c>
      <c r="E13" s="327">
        <v>-181.7</v>
      </c>
      <c r="F13" s="327">
        <v>-197.8</v>
      </c>
      <c r="G13" s="327">
        <v>-248.8</v>
      </c>
      <c r="H13" s="327">
        <v>-1216.4000000000001</v>
      </c>
    </row>
    <row r="14" spans="1:8" x14ac:dyDescent="0.25">
      <c r="A14" s="320"/>
      <c r="B14" s="325" t="s">
        <v>61</v>
      </c>
      <c r="C14" s="327">
        <v>-38</v>
      </c>
      <c r="D14" s="327">
        <v>-30</v>
      </c>
      <c r="E14" s="327">
        <v>1.7</v>
      </c>
      <c r="F14" s="327">
        <v>-17.399999999999999</v>
      </c>
      <c r="G14" s="327">
        <v>-17.5</v>
      </c>
      <c r="H14" s="327">
        <v>26.4</v>
      </c>
    </row>
    <row r="15" spans="1:8" x14ac:dyDescent="0.25">
      <c r="A15" s="320"/>
      <c r="B15" s="325" t="s">
        <v>62</v>
      </c>
      <c r="C15" s="327">
        <v>-4</v>
      </c>
      <c r="D15" s="327">
        <v>-10</v>
      </c>
      <c r="E15" s="327">
        <v>-2.2999999999999998</v>
      </c>
      <c r="F15" s="327">
        <v>-5.3</v>
      </c>
      <c r="G15" s="327">
        <v>-5.4</v>
      </c>
      <c r="H15" s="327">
        <v>-3.3</v>
      </c>
    </row>
    <row r="16" spans="1:8" x14ac:dyDescent="0.25">
      <c r="A16" s="320"/>
      <c r="B16" s="325" t="s">
        <v>63</v>
      </c>
      <c r="C16" s="327">
        <v>-2</v>
      </c>
      <c r="D16" s="327">
        <v>37</v>
      </c>
      <c r="E16" s="327">
        <v>3.2</v>
      </c>
      <c r="F16" s="327">
        <v>26.7</v>
      </c>
      <c r="G16" s="327">
        <v>24.5</v>
      </c>
      <c r="H16" s="327">
        <v>111.3</v>
      </c>
    </row>
    <row r="17" spans="1:8" x14ac:dyDescent="0.25">
      <c r="A17" s="320"/>
      <c r="B17" s="325" t="s">
        <v>64</v>
      </c>
      <c r="C17" s="327">
        <v>-35</v>
      </c>
      <c r="D17" s="327">
        <v>-27</v>
      </c>
      <c r="E17" s="327">
        <v>-63</v>
      </c>
      <c r="F17" s="327">
        <v>-120.1</v>
      </c>
      <c r="G17" s="327">
        <v>-128.5</v>
      </c>
      <c r="H17" s="327">
        <v>-85.7</v>
      </c>
    </row>
    <row r="18" spans="1:8" x14ac:dyDescent="0.25">
      <c r="A18" s="320" t="s">
        <v>89</v>
      </c>
      <c r="B18" s="324" t="s">
        <v>65</v>
      </c>
      <c r="C18" s="328">
        <v>320</v>
      </c>
      <c r="D18" s="328">
        <v>325</v>
      </c>
      <c r="E18" s="328">
        <v>371.7</v>
      </c>
      <c r="F18" s="328">
        <v>403.9</v>
      </c>
      <c r="G18" s="328">
        <v>284.2</v>
      </c>
      <c r="H18" s="328">
        <v>-40.799999999999997</v>
      </c>
    </row>
    <row r="19" spans="1:8" x14ac:dyDescent="0.25">
      <c r="A19" s="320"/>
      <c r="B19" s="325"/>
      <c r="C19" s="325"/>
      <c r="D19" s="325"/>
      <c r="E19" s="325"/>
      <c r="F19" s="325"/>
      <c r="G19" s="325"/>
      <c r="H19" s="325"/>
    </row>
    <row r="20" spans="1:8" x14ac:dyDescent="0.25">
      <c r="A20" s="320"/>
      <c r="B20" s="325" t="s">
        <v>66</v>
      </c>
      <c r="C20" s="327">
        <v>-93</v>
      </c>
      <c r="D20" s="327">
        <v>-108</v>
      </c>
      <c r="E20" s="327">
        <v>-94</v>
      </c>
      <c r="F20" s="327">
        <v>-103.1</v>
      </c>
      <c r="G20" s="327">
        <v>-132</v>
      </c>
      <c r="H20" s="327">
        <v>-180.5</v>
      </c>
    </row>
    <row r="21" spans="1:8" x14ac:dyDescent="0.25">
      <c r="A21" s="320"/>
      <c r="B21" s="325" t="s">
        <v>67</v>
      </c>
      <c r="C21" s="327">
        <v>-125</v>
      </c>
      <c r="D21" s="327">
        <v>-78</v>
      </c>
      <c r="E21" s="327">
        <v>-40.1</v>
      </c>
      <c r="F21" s="327">
        <v>-281.7</v>
      </c>
      <c r="G21" s="327">
        <v>-50.7</v>
      </c>
      <c r="H21" s="327">
        <v>-36.299999999999997</v>
      </c>
    </row>
    <row r="22" spans="1:8" x14ac:dyDescent="0.25">
      <c r="A22" s="320"/>
      <c r="B22" s="325" t="s">
        <v>68</v>
      </c>
      <c r="C22" s="327" t="s">
        <v>0</v>
      </c>
      <c r="D22" s="327" t="s">
        <v>0</v>
      </c>
      <c r="E22" s="327" t="s">
        <v>0</v>
      </c>
      <c r="F22" s="327" t="s">
        <v>0</v>
      </c>
      <c r="G22" s="327" t="s">
        <v>0</v>
      </c>
      <c r="H22" s="327" t="s">
        <v>0</v>
      </c>
    </row>
    <row r="23" spans="1:8" x14ac:dyDescent="0.25">
      <c r="A23" s="320"/>
      <c r="B23" s="325" t="s">
        <v>69</v>
      </c>
      <c r="C23" s="327" t="s">
        <v>0</v>
      </c>
      <c r="D23" s="327" t="s">
        <v>0</v>
      </c>
      <c r="E23" s="327" t="s">
        <v>0</v>
      </c>
      <c r="F23" s="327" t="s">
        <v>0</v>
      </c>
      <c r="G23" s="327" t="s">
        <v>0</v>
      </c>
      <c r="H23" s="327">
        <v>-360.4</v>
      </c>
    </row>
    <row r="24" spans="1:8" x14ac:dyDescent="0.25">
      <c r="A24" s="320"/>
      <c r="B24" s="325" t="s">
        <v>70</v>
      </c>
      <c r="C24" s="327" t="s">
        <v>0</v>
      </c>
      <c r="D24" s="327" t="s">
        <v>0</v>
      </c>
      <c r="E24" s="327" t="s">
        <v>0</v>
      </c>
      <c r="F24" s="327" t="s">
        <v>0</v>
      </c>
      <c r="G24" s="327" t="s">
        <v>0</v>
      </c>
      <c r="H24" s="327" t="s">
        <v>0</v>
      </c>
    </row>
    <row r="25" spans="1:8" x14ac:dyDescent="0.25">
      <c r="A25" s="320"/>
      <c r="B25" s="325" t="s">
        <v>71</v>
      </c>
      <c r="C25" s="327">
        <v>5</v>
      </c>
      <c r="D25" s="327">
        <v>-2</v>
      </c>
      <c r="E25" s="327">
        <v>-88.5</v>
      </c>
      <c r="F25" s="327">
        <v>-15.1</v>
      </c>
      <c r="G25" s="327">
        <v>-24.9</v>
      </c>
      <c r="H25" s="327">
        <v>2620.9</v>
      </c>
    </row>
    <row r="26" spans="1:8" x14ac:dyDescent="0.25">
      <c r="A26" s="320" t="s">
        <v>89</v>
      </c>
      <c r="B26" s="324" t="s">
        <v>72</v>
      </c>
      <c r="C26" s="328">
        <v>-213</v>
      </c>
      <c r="D26" s="328">
        <v>-188</v>
      </c>
      <c r="E26" s="328">
        <v>-222.6</v>
      </c>
      <c r="F26" s="328">
        <v>-399.9</v>
      </c>
      <c r="G26" s="328">
        <v>-207.6</v>
      </c>
      <c r="H26" s="328">
        <v>2043.7</v>
      </c>
    </row>
    <row r="27" spans="1:8" x14ac:dyDescent="0.25">
      <c r="A27" s="320"/>
      <c r="B27" s="325"/>
      <c r="C27" s="325"/>
      <c r="D27" s="325"/>
      <c r="E27" s="325"/>
      <c r="F27" s="325"/>
      <c r="G27" s="325"/>
      <c r="H27" s="325"/>
    </row>
    <row r="28" spans="1:8" x14ac:dyDescent="0.25">
      <c r="A28" s="320"/>
      <c r="B28" s="325" t="s">
        <v>73</v>
      </c>
      <c r="C28" s="327" t="s">
        <v>0</v>
      </c>
      <c r="D28" s="327" t="s">
        <v>0</v>
      </c>
      <c r="E28" s="327" t="s">
        <v>0</v>
      </c>
      <c r="F28" s="327" t="s">
        <v>0</v>
      </c>
      <c r="G28" s="327" t="s">
        <v>0</v>
      </c>
      <c r="H28" s="327" t="s">
        <v>0</v>
      </c>
    </row>
    <row r="29" spans="1:8" x14ac:dyDescent="0.25">
      <c r="A29" s="320"/>
      <c r="B29" s="325" t="s">
        <v>74</v>
      </c>
      <c r="C29" s="327">
        <v>305</v>
      </c>
      <c r="D29" s="327">
        <v>752</v>
      </c>
      <c r="E29" s="327">
        <v>1450</v>
      </c>
      <c r="F29" s="327">
        <v>535</v>
      </c>
      <c r="G29" s="327">
        <v>23</v>
      </c>
      <c r="H29" s="327">
        <v>924</v>
      </c>
    </row>
    <row r="30" spans="1:8" x14ac:dyDescent="0.25">
      <c r="A30" s="320" t="s">
        <v>89</v>
      </c>
      <c r="B30" s="324" t="s">
        <v>75</v>
      </c>
      <c r="C30" s="328">
        <v>305</v>
      </c>
      <c r="D30" s="328">
        <v>752</v>
      </c>
      <c r="E30" s="328">
        <v>1450</v>
      </c>
      <c r="F30" s="328">
        <v>535</v>
      </c>
      <c r="G30" s="328">
        <v>23</v>
      </c>
      <c r="H30" s="328">
        <v>924</v>
      </c>
    </row>
    <row r="31" spans="1:8" x14ac:dyDescent="0.25">
      <c r="A31" s="320"/>
      <c r="B31" s="325" t="s">
        <v>76</v>
      </c>
      <c r="C31" s="327" t="s">
        <v>0</v>
      </c>
      <c r="D31" s="327" t="s">
        <v>0</v>
      </c>
      <c r="E31" s="327" t="s">
        <v>0</v>
      </c>
      <c r="F31" s="327" t="s">
        <v>0</v>
      </c>
      <c r="G31" s="327" t="s">
        <v>0</v>
      </c>
      <c r="H31" s="327" t="s">
        <v>0</v>
      </c>
    </row>
    <row r="32" spans="1:8" x14ac:dyDescent="0.25">
      <c r="A32" s="320"/>
      <c r="B32" s="325" t="s">
        <v>77</v>
      </c>
      <c r="C32" s="327">
        <v>-108</v>
      </c>
      <c r="D32" s="327">
        <v>-734</v>
      </c>
      <c r="E32" s="327">
        <v>-926.4</v>
      </c>
      <c r="F32" s="327">
        <v>-800</v>
      </c>
      <c r="G32" s="327">
        <v>-38.1</v>
      </c>
      <c r="H32" s="327">
        <v>-920.9</v>
      </c>
    </row>
    <row r="33" spans="1:8" x14ac:dyDescent="0.25">
      <c r="A33" s="320" t="s">
        <v>89</v>
      </c>
      <c r="B33" s="324" t="s">
        <v>78</v>
      </c>
      <c r="C33" s="328">
        <v>-108</v>
      </c>
      <c r="D33" s="328">
        <v>-734</v>
      </c>
      <c r="E33" s="328">
        <v>-926.4</v>
      </c>
      <c r="F33" s="328">
        <v>-800</v>
      </c>
      <c r="G33" s="328">
        <v>-38.1</v>
      </c>
      <c r="H33" s="328">
        <v>-920.9</v>
      </c>
    </row>
    <row r="34" spans="1:8" x14ac:dyDescent="0.25">
      <c r="A34" s="320"/>
      <c r="B34" s="325"/>
      <c r="C34" s="325"/>
      <c r="D34" s="325"/>
      <c r="E34" s="325"/>
      <c r="F34" s="325"/>
      <c r="G34" s="325"/>
      <c r="H34" s="325"/>
    </row>
    <row r="35" spans="1:8" x14ac:dyDescent="0.25">
      <c r="A35" s="320"/>
      <c r="B35" s="325" t="s">
        <v>79</v>
      </c>
      <c r="C35" s="327">
        <v>-325</v>
      </c>
      <c r="D35" s="327" t="s">
        <v>0</v>
      </c>
      <c r="E35" s="327">
        <v>-59.8</v>
      </c>
      <c r="F35" s="327">
        <v>-126.9</v>
      </c>
      <c r="G35" s="327">
        <v>-142.6</v>
      </c>
      <c r="H35" s="327">
        <v>-1524.8</v>
      </c>
    </row>
    <row r="36" spans="1:8" x14ac:dyDescent="0.25">
      <c r="A36" s="320"/>
      <c r="B36" s="325"/>
      <c r="C36" s="325"/>
      <c r="D36" s="325"/>
      <c r="E36" s="325"/>
      <c r="F36" s="325"/>
      <c r="G36" s="325"/>
      <c r="H36" s="325"/>
    </row>
    <row r="37" spans="1:8" x14ac:dyDescent="0.25">
      <c r="A37" s="320"/>
      <c r="B37" s="325" t="s">
        <v>80</v>
      </c>
      <c r="C37" s="327">
        <v>-58</v>
      </c>
      <c r="D37" s="327">
        <v>-80</v>
      </c>
      <c r="E37" s="327">
        <v>-84.3</v>
      </c>
      <c r="F37" s="327">
        <v>-90.9</v>
      </c>
      <c r="G37" s="327">
        <v>-89.2</v>
      </c>
      <c r="H37" s="327">
        <v>-21.8</v>
      </c>
    </row>
    <row r="38" spans="1:8" x14ac:dyDescent="0.25">
      <c r="A38" s="320" t="s">
        <v>89</v>
      </c>
      <c r="B38" s="324" t="s">
        <v>81</v>
      </c>
      <c r="C38" s="328">
        <v>-58</v>
      </c>
      <c r="D38" s="328">
        <v>-80</v>
      </c>
      <c r="E38" s="328">
        <v>-84.3</v>
      </c>
      <c r="F38" s="328">
        <v>-90.9</v>
      </c>
      <c r="G38" s="328">
        <v>-89.2</v>
      </c>
      <c r="H38" s="328">
        <v>-21.8</v>
      </c>
    </row>
    <row r="39" spans="1:8" x14ac:dyDescent="0.25">
      <c r="A39" s="320"/>
      <c r="B39" s="325"/>
      <c r="C39" s="325"/>
      <c r="D39" s="325"/>
      <c r="E39" s="325"/>
      <c r="F39" s="325"/>
      <c r="G39" s="325"/>
      <c r="H39" s="325"/>
    </row>
    <row r="40" spans="1:8" x14ac:dyDescent="0.25">
      <c r="A40" s="320"/>
      <c r="B40" s="325" t="s">
        <v>82</v>
      </c>
      <c r="C40" s="327" t="s">
        <v>0</v>
      </c>
      <c r="D40" s="327" t="s">
        <v>0</v>
      </c>
      <c r="E40" s="327" t="s">
        <v>0</v>
      </c>
      <c r="F40" s="327" t="s">
        <v>0</v>
      </c>
      <c r="G40" s="327" t="s">
        <v>0</v>
      </c>
      <c r="H40" s="327" t="s">
        <v>0</v>
      </c>
    </row>
    <row r="41" spans="1:8" x14ac:dyDescent="0.25">
      <c r="A41" s="320"/>
      <c r="B41" s="325" t="s">
        <v>83</v>
      </c>
      <c r="C41" s="327">
        <v>-23</v>
      </c>
      <c r="D41" s="327">
        <v>-9</v>
      </c>
      <c r="E41" s="327">
        <v>70.8</v>
      </c>
      <c r="F41" s="327">
        <v>-52.7</v>
      </c>
      <c r="G41" s="327">
        <v>28</v>
      </c>
      <c r="H41" s="327">
        <v>-130.1</v>
      </c>
    </row>
    <row r="42" spans="1:8" x14ac:dyDescent="0.25">
      <c r="A42" s="320" t="s">
        <v>89</v>
      </c>
      <c r="B42" s="324" t="s">
        <v>84</v>
      </c>
      <c r="C42" s="328">
        <v>-209</v>
      </c>
      <c r="D42" s="328">
        <v>-71</v>
      </c>
      <c r="E42" s="328">
        <v>450.3</v>
      </c>
      <c r="F42" s="328">
        <v>-535.5</v>
      </c>
      <c r="G42" s="328">
        <v>-218.9</v>
      </c>
      <c r="H42" s="328">
        <v>-1673.6</v>
      </c>
    </row>
    <row r="43" spans="1:8" x14ac:dyDescent="0.25">
      <c r="A43" s="320"/>
      <c r="B43" s="325"/>
      <c r="C43" s="325"/>
      <c r="D43" s="325"/>
      <c r="E43" s="325"/>
      <c r="F43" s="325"/>
      <c r="G43" s="325"/>
      <c r="H43" s="325"/>
    </row>
    <row r="44" spans="1:8" x14ac:dyDescent="0.25">
      <c r="A44" s="320"/>
      <c r="B44" s="325" t="s">
        <v>85</v>
      </c>
      <c r="C44" s="327">
        <v>-3</v>
      </c>
      <c r="D44" s="327">
        <v>-3</v>
      </c>
      <c r="E44" s="327">
        <v>1.7</v>
      </c>
      <c r="F44" s="327">
        <v>2.4</v>
      </c>
      <c r="G44" s="327">
        <v>-5.2</v>
      </c>
      <c r="H44" s="327">
        <v>-0.1</v>
      </c>
    </row>
    <row r="45" spans="1:8" x14ac:dyDescent="0.25">
      <c r="A45" s="320" t="s">
        <v>89</v>
      </c>
      <c r="B45" s="324" t="s">
        <v>86</v>
      </c>
      <c r="C45" s="329">
        <v>-105</v>
      </c>
      <c r="D45" s="329">
        <v>63</v>
      </c>
      <c r="E45" s="329">
        <v>601.1</v>
      </c>
      <c r="F45" s="329">
        <v>-529.1</v>
      </c>
      <c r="G45" s="329">
        <v>-147.5</v>
      </c>
      <c r="H45" s="329">
        <v>329.2</v>
      </c>
    </row>
    <row r="46" spans="1:8" x14ac:dyDescent="0.25">
      <c r="A46" s="117"/>
      <c r="B46" s="117"/>
      <c r="C46" s="117"/>
      <c r="D46" s="117"/>
      <c r="E46" s="117"/>
      <c r="F46" s="117"/>
      <c r="G46" s="117"/>
      <c r="H46" s="117"/>
    </row>
    <row r="47" spans="1:8" x14ac:dyDescent="0.25">
      <c r="A47" s="117"/>
      <c r="B47" s="128" t="s">
        <v>178</v>
      </c>
      <c r="C47" s="117"/>
      <c r="D47" s="117"/>
      <c r="E47" s="117"/>
      <c r="F47" s="117"/>
      <c r="G47" s="117"/>
      <c r="H47" s="117"/>
    </row>
    <row r="48" spans="1:8" x14ac:dyDescent="0.25">
      <c r="A48" s="117"/>
      <c r="B48" s="325" t="s">
        <v>11</v>
      </c>
      <c r="C48" s="327">
        <v>2285</v>
      </c>
      <c r="D48" s="327">
        <v>2390</v>
      </c>
      <c r="E48" s="327">
        <v>727</v>
      </c>
      <c r="F48" s="327">
        <v>1037.2</v>
      </c>
      <c r="G48" s="327">
        <v>1236.0999999999999</v>
      </c>
      <c r="H48" s="327">
        <v>1443.5</v>
      </c>
    </row>
    <row r="49" spans="1:8" x14ac:dyDescent="0.25">
      <c r="A49" s="117"/>
      <c r="B49" s="117"/>
      <c r="C49" s="117"/>
      <c r="D49" s="117"/>
      <c r="E49" s="117"/>
      <c r="F49" s="117"/>
      <c r="G49" s="117"/>
      <c r="H49" s="117"/>
    </row>
    <row r="50" spans="1:8" x14ac:dyDescent="0.25">
      <c r="A50" s="117"/>
      <c r="B50" s="128" t="s">
        <v>178</v>
      </c>
      <c r="C50" s="117"/>
      <c r="D50" s="117"/>
      <c r="E50" s="117"/>
      <c r="F50" s="117"/>
      <c r="G50" s="117"/>
      <c r="H50" s="117"/>
    </row>
    <row r="51" spans="1:8" x14ac:dyDescent="0.25">
      <c r="A51" s="117"/>
      <c r="B51" s="117" t="s">
        <v>184</v>
      </c>
      <c r="C51" s="330">
        <f>+C8/C48</f>
        <v>2.3632385120350111E-2</v>
      </c>
      <c r="D51" s="330">
        <f t="shared" ref="D51:H51" si="0">+D8/D48</f>
        <v>2.5523012552301255E-2</v>
      </c>
      <c r="E51" s="330">
        <f t="shared" si="0"/>
        <v>5.5845942228335631E-2</v>
      </c>
      <c r="F51" s="330">
        <f t="shared" si="0"/>
        <v>5.9872734284612414E-2</v>
      </c>
      <c r="G51" s="330">
        <f t="shared" si="0"/>
        <v>5.7762316964646884E-2</v>
      </c>
      <c r="H51" s="330">
        <f t="shared" si="0"/>
        <v>6.1517145826117073E-2</v>
      </c>
    </row>
    <row r="52" spans="1:8" x14ac:dyDescent="0.25">
      <c r="A52" s="117"/>
      <c r="B52" s="117" t="s">
        <v>185</v>
      </c>
      <c r="C52" s="330">
        <f>(-1*C20)/C48</f>
        <v>4.0700218818380741E-2</v>
      </c>
      <c r="D52" s="330">
        <f t="shared" ref="D52:H52" si="1">(-1*D20)/D48</f>
        <v>4.5188284518828455E-2</v>
      </c>
      <c r="E52" s="330">
        <f t="shared" si="1"/>
        <v>0.12929848693259974</v>
      </c>
      <c r="F52" s="330">
        <f t="shared" si="1"/>
        <v>9.9402236791361342E-2</v>
      </c>
      <c r="G52" s="330">
        <f t="shared" si="1"/>
        <v>0.10678747674136398</v>
      </c>
      <c r="H52" s="330">
        <f t="shared" si="1"/>
        <v>0.12504329754069968</v>
      </c>
    </row>
    <row r="53" spans="1:8" x14ac:dyDescent="0.25">
      <c r="A53" s="117"/>
      <c r="B53" s="117" t="s">
        <v>277</v>
      </c>
      <c r="C53" s="117"/>
      <c r="D53" s="117"/>
      <c r="E53" s="117"/>
      <c r="F53" s="117"/>
      <c r="G53" s="117"/>
      <c r="H53" s="117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A1FE4-8E5B-432D-AD60-0F20C782FB89}">
  <sheetPr>
    <tabColor rgb="FFFF0000"/>
  </sheetPr>
  <dimension ref="A1"/>
  <sheetViews>
    <sheetView showGridLines="0" workbookViewId="0">
      <selection activeCell="C2" sqref="C2"/>
    </sheetView>
  </sheetViews>
  <sheetFormatPr defaultColWidth="8.5703125" defaultRowHeight="15" x14ac:dyDescent="0.25"/>
  <cols>
    <col min="1" max="16384" width="8.5703125" style="64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8578-5082-44AA-BA1B-71882ABD18F5}">
  <sheetPr>
    <pageSetUpPr autoPageBreaks="0"/>
  </sheetPr>
  <dimension ref="A1:T154"/>
  <sheetViews>
    <sheetView showGridLines="0" topLeftCell="A119" workbookViewId="0">
      <selection activeCell="C152" sqref="C152"/>
    </sheetView>
  </sheetViews>
  <sheetFormatPr defaultColWidth="8.85546875" defaultRowHeight="15" x14ac:dyDescent="0.25"/>
  <cols>
    <col min="1" max="1" width="2.5703125" customWidth="1"/>
    <col min="2" max="2" width="48.42578125" bestFit="1" customWidth="1"/>
    <col min="16" max="16" width="2.5703125" customWidth="1"/>
    <col min="19" max="19" width="2.5703125" customWidth="1"/>
  </cols>
  <sheetData>
    <row r="1" spans="1:20" ht="2.1" customHeight="1" x14ac:dyDescent="0.25"/>
    <row r="2" spans="1:20" x14ac:dyDescent="0.25">
      <c r="A2" t="s">
        <v>108</v>
      </c>
      <c r="B2" t="s">
        <v>112</v>
      </c>
      <c r="M2" s="463" t="s">
        <v>146</v>
      </c>
      <c r="N2" s="464"/>
      <c r="O2" s="68" t="str">
        <f>+Cover!M20</f>
        <v>Base</v>
      </c>
      <c r="P2" s="420"/>
      <c r="Q2" s="67">
        <f>+IF(O2="Downside",1,IF(O2="Base",2,3))</f>
        <v>2</v>
      </c>
    </row>
    <row r="3" spans="1:20" x14ac:dyDescent="0.25">
      <c r="T3" s="249"/>
    </row>
    <row r="4" spans="1:20" x14ac:dyDescent="0.25">
      <c r="B4" s="3"/>
      <c r="C4" s="6">
        <v>2018</v>
      </c>
      <c r="D4" s="6">
        <f>+C4+1</f>
        <v>2019</v>
      </c>
      <c r="E4" s="6">
        <f t="shared" ref="E4:O4" si="0">+D4+1</f>
        <v>2020</v>
      </c>
      <c r="F4" s="6">
        <f t="shared" si="0"/>
        <v>2021</v>
      </c>
      <c r="G4" s="6">
        <f t="shared" si="0"/>
        <v>2022</v>
      </c>
      <c r="H4" s="6">
        <f t="shared" si="0"/>
        <v>2023</v>
      </c>
      <c r="I4" s="6">
        <f t="shared" si="0"/>
        <v>2024</v>
      </c>
      <c r="J4" s="6">
        <f t="shared" si="0"/>
        <v>2025</v>
      </c>
      <c r="K4" s="6">
        <f t="shared" si="0"/>
        <v>2026</v>
      </c>
      <c r="L4" s="6">
        <f t="shared" si="0"/>
        <v>2027</v>
      </c>
      <c r="M4" s="6">
        <f t="shared" si="0"/>
        <v>2028</v>
      </c>
      <c r="N4" s="6">
        <f t="shared" si="0"/>
        <v>2029</v>
      </c>
      <c r="O4" s="6">
        <f t="shared" si="0"/>
        <v>2030</v>
      </c>
      <c r="P4" s="4"/>
      <c r="S4" s="319"/>
      <c r="T4" s="249"/>
    </row>
    <row r="5" spans="1:20" ht="2.1" customHeight="1" x14ac:dyDescent="0.25"/>
    <row r="6" spans="1:20" x14ac:dyDescent="0.25">
      <c r="A6" t="s">
        <v>108</v>
      </c>
      <c r="B6" s="20" t="s">
        <v>139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0" ht="2.1" customHeight="1" x14ac:dyDescent="0.25">
      <c r="B7" s="5"/>
    </row>
    <row r="8" spans="1:20" x14ac:dyDescent="0.25">
      <c r="B8" s="5" t="s">
        <v>141</v>
      </c>
    </row>
    <row r="9" spans="1:20" x14ac:dyDescent="0.25">
      <c r="B9" t="s">
        <v>91</v>
      </c>
      <c r="C9" s="73">
        <f>+'Store Count Build'!C7</f>
        <v>17</v>
      </c>
      <c r="D9" s="73">
        <f>+'Store Count Build'!D7</f>
        <v>28</v>
      </c>
      <c r="E9" s="73">
        <f>+'Store Count Build'!E7</f>
        <v>36</v>
      </c>
      <c r="F9" s="73">
        <f>+'Store Count Build'!F7</f>
        <v>30</v>
      </c>
      <c r="G9" s="73">
        <f>+'Store Count Build'!G7</f>
        <v>34</v>
      </c>
      <c r="I9">
        <f ca="1">+OFFSET(I9,$Q$2,0)</f>
        <v>37</v>
      </c>
      <c r="J9">
        <f t="shared" ref="J9:O9" ca="1" si="1">+OFFSET(J9,$Q$2,0)</f>
        <v>37</v>
      </c>
      <c r="K9">
        <f t="shared" ca="1" si="1"/>
        <v>38</v>
      </c>
      <c r="L9">
        <f t="shared" ca="1" si="1"/>
        <v>42</v>
      </c>
      <c r="M9">
        <f t="shared" ca="1" si="1"/>
        <v>38</v>
      </c>
      <c r="N9">
        <f t="shared" ca="1" si="1"/>
        <v>36</v>
      </c>
      <c r="O9">
        <f t="shared" ca="1" si="1"/>
        <v>34</v>
      </c>
      <c r="T9" s="249"/>
    </row>
    <row r="10" spans="1:20" x14ac:dyDescent="0.25">
      <c r="B10" s="58"/>
      <c r="H10" s="72" t="s">
        <v>145</v>
      </c>
      <c r="I10" s="71">
        <v>30</v>
      </c>
      <c r="J10" s="71">
        <v>30</v>
      </c>
      <c r="K10" s="71">
        <v>35</v>
      </c>
      <c r="L10" s="71">
        <v>35</v>
      </c>
      <c r="M10" s="71">
        <v>25</v>
      </c>
      <c r="N10" s="71">
        <v>25</v>
      </c>
      <c r="O10" s="71">
        <v>25</v>
      </c>
      <c r="Q10" t="s">
        <v>330</v>
      </c>
    </row>
    <row r="11" spans="1:20" x14ac:dyDescent="0.25">
      <c r="B11" s="58"/>
      <c r="H11" s="72" t="s">
        <v>143</v>
      </c>
      <c r="I11" s="71">
        <v>37</v>
      </c>
      <c r="J11" s="71">
        <v>37</v>
      </c>
      <c r="K11" s="71">
        <v>38</v>
      </c>
      <c r="L11" s="71">
        <v>42</v>
      </c>
      <c r="M11" s="71">
        <v>38</v>
      </c>
      <c r="N11" s="71">
        <v>36</v>
      </c>
      <c r="O11" s="71">
        <v>34</v>
      </c>
      <c r="Q11" t="s">
        <v>468</v>
      </c>
    </row>
    <row r="12" spans="1:20" x14ac:dyDescent="0.25">
      <c r="B12" s="58"/>
      <c r="H12" s="72" t="s">
        <v>144</v>
      </c>
      <c r="I12" s="71">
        <v>37</v>
      </c>
      <c r="J12" s="71">
        <v>37</v>
      </c>
      <c r="K12" s="71">
        <v>38</v>
      </c>
      <c r="L12" s="71">
        <v>42</v>
      </c>
      <c r="M12" s="71">
        <v>38</v>
      </c>
      <c r="N12" s="71">
        <v>36</v>
      </c>
      <c r="O12" s="71">
        <v>34</v>
      </c>
      <c r="Q12" t="s">
        <v>321</v>
      </c>
    </row>
    <row r="13" spans="1:20" x14ac:dyDescent="0.25">
      <c r="B13" s="58"/>
      <c r="Q13" t="s">
        <v>323</v>
      </c>
    </row>
    <row r="14" spans="1:20" x14ac:dyDescent="0.25">
      <c r="B14" t="s">
        <v>92</v>
      </c>
      <c r="C14" s="73">
        <f>+'Store Count Build'!C8</f>
        <v>3</v>
      </c>
      <c r="D14" s="73">
        <f>+'Store Count Build'!D8</f>
        <v>24</v>
      </c>
      <c r="E14" s="73">
        <f>+'Store Count Build'!E8</f>
        <v>12</v>
      </c>
      <c r="F14" s="73">
        <f>+'Store Count Build'!F8</f>
        <v>57</v>
      </c>
      <c r="G14" s="73">
        <f>+'Store Count Build'!G8</f>
        <v>33</v>
      </c>
      <c r="I14">
        <f ca="1">+OFFSET(I14,$Q$2,0)</f>
        <v>37</v>
      </c>
      <c r="J14">
        <f t="shared" ref="J14:O14" ca="1" si="2">+OFFSET(J14,$Q$2,0)</f>
        <v>37</v>
      </c>
      <c r="K14">
        <f t="shared" ca="1" si="2"/>
        <v>38</v>
      </c>
      <c r="L14">
        <f t="shared" ca="1" si="2"/>
        <v>42</v>
      </c>
      <c r="M14">
        <f t="shared" ca="1" si="2"/>
        <v>38</v>
      </c>
      <c r="N14">
        <f t="shared" ca="1" si="2"/>
        <v>36</v>
      </c>
      <c r="O14">
        <f t="shared" ca="1" si="2"/>
        <v>34</v>
      </c>
    </row>
    <row r="15" spans="1:20" x14ac:dyDescent="0.25">
      <c r="B15" s="58"/>
      <c r="H15" s="72" t="s">
        <v>145</v>
      </c>
      <c r="I15" s="71">
        <v>30</v>
      </c>
      <c r="J15" s="71">
        <v>30</v>
      </c>
      <c r="K15" s="71">
        <v>35</v>
      </c>
      <c r="L15" s="71">
        <v>35</v>
      </c>
      <c r="M15" s="71">
        <v>25</v>
      </c>
      <c r="N15" s="71">
        <v>25</v>
      </c>
      <c r="O15" s="71">
        <v>25</v>
      </c>
      <c r="Q15" t="s">
        <v>147</v>
      </c>
    </row>
    <row r="16" spans="1:20" x14ac:dyDescent="0.25">
      <c r="B16" s="58"/>
      <c r="H16" s="72" t="s">
        <v>143</v>
      </c>
      <c r="I16" s="71">
        <v>37</v>
      </c>
      <c r="J16" s="71">
        <v>37</v>
      </c>
      <c r="K16" s="71">
        <v>38</v>
      </c>
      <c r="L16" s="71">
        <v>42</v>
      </c>
      <c r="M16" s="71">
        <v>38</v>
      </c>
      <c r="N16" s="71">
        <v>36</v>
      </c>
      <c r="O16" s="71">
        <v>34</v>
      </c>
      <c r="Q16" t="s">
        <v>468</v>
      </c>
    </row>
    <row r="17" spans="2:17" x14ac:dyDescent="0.25">
      <c r="B17" s="58"/>
      <c r="H17" s="72" t="s">
        <v>144</v>
      </c>
      <c r="I17" s="71">
        <v>37</v>
      </c>
      <c r="J17" s="71">
        <v>37</v>
      </c>
      <c r="K17" s="71">
        <v>38</v>
      </c>
      <c r="L17" s="71">
        <v>42</v>
      </c>
      <c r="M17" s="71">
        <v>38</v>
      </c>
      <c r="N17" s="71">
        <v>36</v>
      </c>
      <c r="O17" s="71">
        <v>34</v>
      </c>
      <c r="Q17" t="s">
        <v>321</v>
      </c>
    </row>
    <row r="18" spans="2:17" x14ac:dyDescent="0.25">
      <c r="B18" s="58"/>
      <c r="H18" s="72"/>
      <c r="Q18" t="s">
        <v>323</v>
      </c>
    </row>
    <row r="19" spans="2:17" x14ac:dyDescent="0.25">
      <c r="B19" t="s">
        <v>93</v>
      </c>
      <c r="C19" s="73">
        <f>+'Store Count Build'!C9</f>
        <v>58</v>
      </c>
      <c r="D19" s="73">
        <f>+'Store Count Build'!D9</f>
        <v>5</v>
      </c>
      <c r="E19" s="73">
        <f>+'Store Count Build'!E9</f>
        <v>17</v>
      </c>
      <c r="F19" s="73">
        <f>+'Store Count Build'!F9</f>
        <v>50</v>
      </c>
      <c r="G19" s="73">
        <f>+'Store Count Build'!G9</f>
        <v>4</v>
      </c>
      <c r="I19">
        <f ca="1">+OFFSET(I19,$Q$2,0)</f>
        <v>16</v>
      </c>
      <c r="J19">
        <f t="shared" ref="J19:O19" ca="1" si="3">+OFFSET(J19,$Q$2,0)</f>
        <v>16</v>
      </c>
      <c r="K19">
        <f t="shared" ca="1" si="3"/>
        <v>16</v>
      </c>
      <c r="L19">
        <f t="shared" ca="1" si="3"/>
        <v>16</v>
      </c>
      <c r="M19">
        <f t="shared" ca="1" si="3"/>
        <v>16</v>
      </c>
      <c r="N19">
        <f t="shared" ca="1" si="3"/>
        <v>16</v>
      </c>
      <c r="O19">
        <f t="shared" ca="1" si="3"/>
        <v>16</v>
      </c>
    </row>
    <row r="20" spans="2:17" x14ac:dyDescent="0.25">
      <c r="H20" s="72" t="s">
        <v>145</v>
      </c>
      <c r="I20" s="71">
        <v>10</v>
      </c>
      <c r="J20" s="71">
        <v>10</v>
      </c>
      <c r="K20" s="71">
        <v>10</v>
      </c>
      <c r="L20" s="71">
        <v>10</v>
      </c>
      <c r="M20" s="71">
        <v>10</v>
      </c>
      <c r="N20" s="71">
        <v>10</v>
      </c>
      <c r="O20" s="71">
        <v>10</v>
      </c>
      <c r="Q20" t="s">
        <v>324</v>
      </c>
    </row>
    <row r="21" spans="2:17" x14ac:dyDescent="0.25">
      <c r="H21" s="72" t="s">
        <v>143</v>
      </c>
      <c r="I21" s="71">
        <v>16</v>
      </c>
      <c r="J21" s="71">
        <v>16</v>
      </c>
      <c r="K21" s="71">
        <v>16</v>
      </c>
      <c r="L21" s="71">
        <v>16</v>
      </c>
      <c r="M21" s="71">
        <v>16</v>
      </c>
      <c r="N21" s="71">
        <v>16</v>
      </c>
      <c r="O21" s="71">
        <v>16</v>
      </c>
    </row>
    <row r="22" spans="2:17" x14ac:dyDescent="0.25">
      <c r="H22" s="72" t="s">
        <v>144</v>
      </c>
      <c r="I22" s="71">
        <v>20</v>
      </c>
      <c r="J22" s="71">
        <v>20</v>
      </c>
      <c r="K22" s="71">
        <v>20</v>
      </c>
      <c r="L22" s="71">
        <v>20</v>
      </c>
      <c r="M22" s="71">
        <v>20</v>
      </c>
      <c r="N22" s="71">
        <v>20</v>
      </c>
      <c r="O22" s="71">
        <v>20</v>
      </c>
    </row>
    <row r="24" spans="2:17" x14ac:dyDescent="0.25">
      <c r="B24" t="s">
        <v>94</v>
      </c>
      <c r="C24" s="73">
        <f>+'Store Count Build'!C10</f>
        <v>0</v>
      </c>
      <c r="D24" s="73">
        <f>+'Store Count Build'!D10</f>
        <v>0</v>
      </c>
      <c r="E24" s="73">
        <f>+'Store Count Build'!E10</f>
        <v>0</v>
      </c>
      <c r="F24" s="73">
        <f>+'Store Count Build'!F10</f>
        <v>-2</v>
      </c>
      <c r="G24" s="73">
        <f>+'Store Count Build'!G10</f>
        <v>0</v>
      </c>
      <c r="I24" s="292">
        <f ca="1">+OFFSET(I24,$Q$2,0)</f>
        <v>0</v>
      </c>
      <c r="J24" s="292">
        <f t="shared" ref="J24:O24" ca="1" si="4">+OFFSET(J24,$Q$2,0)</f>
        <v>0</v>
      </c>
      <c r="K24" s="292">
        <f t="shared" ca="1" si="4"/>
        <v>0</v>
      </c>
      <c r="L24" s="292">
        <f t="shared" ca="1" si="4"/>
        <v>0</v>
      </c>
      <c r="M24" s="292">
        <f t="shared" ca="1" si="4"/>
        <v>0</v>
      </c>
      <c r="N24" s="292">
        <f t="shared" ca="1" si="4"/>
        <v>0</v>
      </c>
      <c r="O24" s="292">
        <f t="shared" ca="1" si="4"/>
        <v>0</v>
      </c>
    </row>
    <row r="25" spans="2:17" x14ac:dyDescent="0.25">
      <c r="H25" s="72" t="s">
        <v>145</v>
      </c>
      <c r="I25" s="291">
        <v>-5</v>
      </c>
      <c r="J25" s="74">
        <v>-5</v>
      </c>
      <c r="K25" s="74">
        <v>-5</v>
      </c>
      <c r="L25" s="74">
        <v>-5</v>
      </c>
      <c r="M25" s="74">
        <v>-5</v>
      </c>
      <c r="N25" s="74">
        <v>-5</v>
      </c>
      <c r="O25" s="74">
        <v>-5</v>
      </c>
      <c r="Q25" t="s">
        <v>325</v>
      </c>
    </row>
    <row r="26" spans="2:17" x14ac:dyDescent="0.25">
      <c r="H26" s="72" t="s">
        <v>143</v>
      </c>
      <c r="I26" s="75">
        <v>0</v>
      </c>
      <c r="J26" s="75">
        <v>0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</row>
    <row r="27" spans="2:17" x14ac:dyDescent="0.25">
      <c r="H27" s="72" t="s">
        <v>144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</row>
    <row r="28" spans="2:17" ht="2.1" customHeight="1" x14ac:dyDescent="0.25"/>
    <row r="29" spans="2:17" x14ac:dyDescent="0.25">
      <c r="B29" s="5" t="s">
        <v>140</v>
      </c>
    </row>
    <row r="30" spans="2:17" x14ac:dyDescent="0.25">
      <c r="B30" t="s">
        <v>91</v>
      </c>
      <c r="C30" s="73">
        <f>+'Store Count Build'!C18</f>
        <v>28</v>
      </c>
      <c r="D30" s="73">
        <f>+'Store Count Build'!D18</f>
        <v>65</v>
      </c>
      <c r="E30" s="73">
        <f>+'Store Count Build'!E18</f>
        <v>36</v>
      </c>
      <c r="F30" s="73">
        <f>+'Store Count Build'!F18</f>
        <v>39</v>
      </c>
      <c r="G30" s="73">
        <f>+'Store Count Build'!G18</f>
        <v>60</v>
      </c>
      <c r="I30">
        <f ca="1">+OFFSET(I30,$Q$2,0)</f>
        <v>38</v>
      </c>
      <c r="J30">
        <f t="shared" ref="J30:O30" ca="1" si="5">+OFFSET(J30,$Q$2,0)</f>
        <v>55</v>
      </c>
      <c r="K30">
        <f t="shared" ca="1" si="5"/>
        <v>65</v>
      </c>
      <c r="L30">
        <f t="shared" ca="1" si="5"/>
        <v>83</v>
      </c>
      <c r="M30">
        <f t="shared" ca="1" si="5"/>
        <v>65</v>
      </c>
      <c r="N30">
        <f t="shared" ca="1" si="5"/>
        <v>65</v>
      </c>
      <c r="O30">
        <f t="shared" ca="1" si="5"/>
        <v>65</v>
      </c>
    </row>
    <row r="31" spans="2:17" x14ac:dyDescent="0.25">
      <c r="H31" s="72" t="s">
        <v>145</v>
      </c>
      <c r="I31" s="74">
        <v>30</v>
      </c>
      <c r="J31" s="74">
        <v>40</v>
      </c>
      <c r="K31" s="74">
        <v>50</v>
      </c>
      <c r="L31" s="74">
        <v>60</v>
      </c>
      <c r="M31" s="74">
        <v>50</v>
      </c>
      <c r="N31" s="74">
        <v>50</v>
      </c>
      <c r="O31" s="74">
        <v>40</v>
      </c>
    </row>
    <row r="32" spans="2:17" x14ac:dyDescent="0.25">
      <c r="H32" s="72" t="s">
        <v>143</v>
      </c>
      <c r="I32" s="74">
        <v>38</v>
      </c>
      <c r="J32" s="74">
        <v>55</v>
      </c>
      <c r="K32" s="74">
        <v>65</v>
      </c>
      <c r="L32" s="74">
        <v>83</v>
      </c>
      <c r="M32" s="74">
        <v>65</v>
      </c>
      <c r="N32" s="74">
        <v>65</v>
      </c>
      <c r="O32" s="74">
        <v>65</v>
      </c>
      <c r="Q32" t="s">
        <v>468</v>
      </c>
    </row>
    <row r="33" spans="1:20" x14ac:dyDescent="0.25">
      <c r="H33" s="72" t="s">
        <v>144</v>
      </c>
      <c r="I33" s="74">
        <v>38</v>
      </c>
      <c r="J33" s="74">
        <v>55</v>
      </c>
      <c r="K33" s="74">
        <v>65</v>
      </c>
      <c r="L33" s="74">
        <v>83</v>
      </c>
      <c r="M33" s="74">
        <v>65</v>
      </c>
      <c r="N33" s="74">
        <v>65</v>
      </c>
      <c r="O33" s="74">
        <v>65</v>
      </c>
      <c r="Q33" t="s">
        <v>321</v>
      </c>
    </row>
    <row r="34" spans="1:20" x14ac:dyDescent="0.25">
      <c r="Q34" t="s">
        <v>326</v>
      </c>
    </row>
    <row r="35" spans="1:20" x14ac:dyDescent="0.25">
      <c r="B35" t="s">
        <v>98</v>
      </c>
      <c r="C35" s="73">
        <f>+'Store Count Build'!C19</f>
        <v>73</v>
      </c>
      <c r="D35" s="73">
        <f>+'Store Count Build'!D19</f>
        <v>31</v>
      </c>
      <c r="E35" s="73">
        <f>+'Store Count Build'!E19</f>
        <v>0</v>
      </c>
      <c r="F35" s="73">
        <f>+'Store Count Build'!F19</f>
        <v>12</v>
      </c>
      <c r="G35" s="73">
        <f>+'Store Count Build'!G19</f>
        <v>0</v>
      </c>
      <c r="I35">
        <f ca="1">+OFFSET(I35,$Q$2,0)</f>
        <v>38</v>
      </c>
      <c r="J35">
        <f t="shared" ref="J35:O35" ca="1" si="6">+OFFSET(J35,$Q$2,0)</f>
        <v>55</v>
      </c>
      <c r="K35">
        <f t="shared" ca="1" si="6"/>
        <v>65</v>
      </c>
      <c r="L35">
        <f t="shared" ca="1" si="6"/>
        <v>83</v>
      </c>
      <c r="M35">
        <f t="shared" ca="1" si="6"/>
        <v>65</v>
      </c>
      <c r="N35">
        <f t="shared" ca="1" si="6"/>
        <v>65</v>
      </c>
      <c r="O35">
        <f t="shared" ca="1" si="6"/>
        <v>65</v>
      </c>
    </row>
    <row r="36" spans="1:20" x14ac:dyDescent="0.25">
      <c r="H36" s="72" t="s">
        <v>145</v>
      </c>
      <c r="I36" s="74">
        <v>30</v>
      </c>
      <c r="J36" s="74">
        <v>40</v>
      </c>
      <c r="K36" s="74">
        <v>50</v>
      </c>
      <c r="L36" s="74">
        <v>60</v>
      </c>
      <c r="M36" s="74">
        <v>50</v>
      </c>
      <c r="N36" s="74">
        <v>50</v>
      </c>
      <c r="O36" s="74">
        <v>40</v>
      </c>
    </row>
    <row r="37" spans="1:20" x14ac:dyDescent="0.25">
      <c r="H37" s="72" t="s">
        <v>143</v>
      </c>
      <c r="I37" s="74">
        <v>38</v>
      </c>
      <c r="J37" s="74">
        <v>55</v>
      </c>
      <c r="K37" s="74">
        <v>65</v>
      </c>
      <c r="L37" s="74">
        <v>83</v>
      </c>
      <c r="M37" s="74">
        <v>65</v>
      </c>
      <c r="N37" s="74">
        <v>65</v>
      </c>
      <c r="O37" s="74">
        <v>65</v>
      </c>
      <c r="Q37" t="s">
        <v>468</v>
      </c>
    </row>
    <row r="38" spans="1:20" x14ac:dyDescent="0.25">
      <c r="H38" s="72" t="s">
        <v>144</v>
      </c>
      <c r="I38" s="74">
        <v>38</v>
      </c>
      <c r="J38" s="74">
        <v>55</v>
      </c>
      <c r="K38" s="74">
        <v>65</v>
      </c>
      <c r="L38" s="74">
        <v>83</v>
      </c>
      <c r="M38" s="74">
        <v>65</v>
      </c>
      <c r="N38" s="74">
        <v>65</v>
      </c>
      <c r="O38" s="74">
        <v>65</v>
      </c>
      <c r="Q38" t="s">
        <v>321</v>
      </c>
    </row>
    <row r="39" spans="1:20" x14ac:dyDescent="0.25">
      <c r="Q39" t="s">
        <v>326</v>
      </c>
    </row>
    <row r="40" spans="1:20" x14ac:dyDescent="0.25">
      <c r="B40" t="s">
        <v>94</v>
      </c>
      <c r="C40" s="73">
        <f>+'Store Count Build'!C21</f>
        <v>-6</v>
      </c>
      <c r="D40" s="73">
        <f>+'Store Count Build'!D21</f>
        <v>-5</v>
      </c>
      <c r="E40" s="73">
        <f>+'Store Count Build'!E21</f>
        <v>-7</v>
      </c>
      <c r="F40" s="73">
        <f>+'Store Count Build'!F21</f>
        <v>-4</v>
      </c>
      <c r="G40" s="73">
        <f>+'Store Count Build'!G21</f>
        <v>-6</v>
      </c>
      <c r="I40" s="292">
        <f ca="1">+OFFSET(I40,$Q$2,0)</f>
        <v>0</v>
      </c>
      <c r="J40" s="292">
        <f t="shared" ref="J40:O40" ca="1" si="7">+OFFSET(J40,$Q$2,0)</f>
        <v>0</v>
      </c>
      <c r="K40" s="292">
        <f t="shared" ca="1" si="7"/>
        <v>0</v>
      </c>
      <c r="L40" s="292">
        <f t="shared" ca="1" si="7"/>
        <v>0</v>
      </c>
      <c r="M40" s="292">
        <f t="shared" ca="1" si="7"/>
        <v>0</v>
      </c>
      <c r="N40" s="292">
        <f t="shared" ca="1" si="7"/>
        <v>0</v>
      </c>
      <c r="O40" s="292">
        <f t="shared" ca="1" si="7"/>
        <v>0</v>
      </c>
    </row>
    <row r="41" spans="1:20" x14ac:dyDescent="0.25">
      <c r="H41" s="72" t="s">
        <v>145</v>
      </c>
      <c r="I41" s="291">
        <v>-5</v>
      </c>
      <c r="J41" s="291">
        <v>-5</v>
      </c>
      <c r="K41" s="291">
        <v>-5</v>
      </c>
      <c r="L41" s="291">
        <v>-5</v>
      </c>
      <c r="M41" s="291">
        <v>-5</v>
      </c>
      <c r="N41" s="291">
        <v>-5</v>
      </c>
      <c r="O41" s="291">
        <v>-5</v>
      </c>
      <c r="Q41" t="s">
        <v>325</v>
      </c>
    </row>
    <row r="42" spans="1:20" x14ac:dyDescent="0.25">
      <c r="H42" s="72" t="s">
        <v>143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</row>
    <row r="43" spans="1:20" x14ac:dyDescent="0.25">
      <c r="H43" s="72" t="s">
        <v>144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</row>
    <row r="44" spans="1:20" ht="2.1" customHeight="1" x14ac:dyDescent="0.25"/>
    <row r="45" spans="1:20" x14ac:dyDescent="0.25">
      <c r="A45" t="s">
        <v>108</v>
      </c>
      <c r="B45" s="20" t="s">
        <v>148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20" ht="2.1" customHeight="1" x14ac:dyDescent="0.25"/>
    <row r="47" spans="1:20" x14ac:dyDescent="0.25">
      <c r="B47" t="s">
        <v>297</v>
      </c>
      <c r="C47" s="77"/>
      <c r="D47" s="77"/>
      <c r="E47" s="77"/>
      <c r="F47" s="77"/>
      <c r="G47" s="77"/>
      <c r="H47" s="77"/>
      <c r="I47" s="23">
        <f ca="1">+OFFSET(I47,$Q$2,0)</f>
        <v>0.05</v>
      </c>
      <c r="J47" s="23">
        <f t="shared" ref="J47:O47" ca="1" si="8">+OFFSET(J47,$Q$2,0)</f>
        <v>4.5000000000000005E-2</v>
      </c>
      <c r="K47" s="23">
        <f t="shared" ca="1" si="8"/>
        <v>4.0000000000000008E-2</v>
      </c>
      <c r="L47" s="252">
        <f t="shared" ca="1" si="8"/>
        <v>3.500000000000001E-2</v>
      </c>
      <c r="M47" s="252">
        <f t="shared" ca="1" si="8"/>
        <v>3.0000000000000009E-2</v>
      </c>
      <c r="N47" s="252">
        <f t="shared" ca="1" si="8"/>
        <v>2.5000000000000008E-2</v>
      </c>
      <c r="O47" s="252">
        <f t="shared" ca="1" si="8"/>
        <v>2.0000000000000007E-2</v>
      </c>
    </row>
    <row r="48" spans="1:20" x14ac:dyDescent="0.25">
      <c r="H48" s="72" t="s">
        <v>145</v>
      </c>
      <c r="I48" s="247">
        <v>0</v>
      </c>
      <c r="J48" s="247">
        <v>0</v>
      </c>
      <c r="K48" s="247">
        <v>0</v>
      </c>
      <c r="L48" s="251">
        <v>-5.0000000000000001E-3</v>
      </c>
      <c r="M48" s="251">
        <v>-5.0000000000000001E-3</v>
      </c>
      <c r="N48" s="251">
        <v>-5.0000000000000001E-3</v>
      </c>
      <c r="O48" s="251">
        <v>-5.0000000000000001E-3</v>
      </c>
      <c r="T48" t="s">
        <v>332</v>
      </c>
    </row>
    <row r="49" spans="2:20" x14ac:dyDescent="0.25">
      <c r="H49" s="72" t="s">
        <v>143</v>
      </c>
      <c r="I49" s="247">
        <v>0.05</v>
      </c>
      <c r="J49" s="247">
        <f>+I49+$R$49</f>
        <v>4.5000000000000005E-2</v>
      </c>
      <c r="K49" s="247">
        <f t="shared" ref="K49:O49" si="9">+J49+$R$49</f>
        <v>4.0000000000000008E-2</v>
      </c>
      <c r="L49" s="247">
        <f t="shared" si="9"/>
        <v>3.500000000000001E-2</v>
      </c>
      <c r="M49" s="247">
        <f t="shared" si="9"/>
        <v>3.0000000000000009E-2</v>
      </c>
      <c r="N49" s="247">
        <f t="shared" si="9"/>
        <v>2.5000000000000008E-2</v>
      </c>
      <c r="O49" s="247">
        <f t="shared" si="9"/>
        <v>2.0000000000000007E-2</v>
      </c>
      <c r="Q49" t="s">
        <v>317</v>
      </c>
      <c r="R49" s="246">
        <v>-5.0000000000000001E-3</v>
      </c>
      <c r="T49" t="s">
        <v>319</v>
      </c>
    </row>
    <row r="50" spans="2:20" x14ac:dyDescent="0.25">
      <c r="H50" s="72" t="s">
        <v>144</v>
      </c>
      <c r="I50" s="247">
        <v>0.05</v>
      </c>
      <c r="J50" s="247">
        <v>0.05</v>
      </c>
      <c r="K50" s="247">
        <v>0.05</v>
      </c>
      <c r="L50" s="247">
        <v>0.05</v>
      </c>
      <c r="M50" s="247">
        <v>0.05</v>
      </c>
      <c r="N50" s="247">
        <v>0.05</v>
      </c>
      <c r="O50" s="247">
        <v>0.05</v>
      </c>
      <c r="R50" s="248"/>
    </row>
    <row r="52" spans="2:20" x14ac:dyDescent="0.25">
      <c r="B52" t="s">
        <v>298</v>
      </c>
      <c r="H52" s="77"/>
      <c r="I52" s="23">
        <f ca="1">+OFFSET(I52,$Q$2,0)</f>
        <v>0.03</v>
      </c>
      <c r="J52" s="23">
        <f t="shared" ref="J52:O52" ca="1" si="10">+OFFSET(J52,$Q$2,0)</f>
        <v>3.2500000000000001E-2</v>
      </c>
      <c r="K52" s="23">
        <f t="shared" ca="1" si="10"/>
        <v>3.5000000000000003E-2</v>
      </c>
      <c r="L52" s="23">
        <f t="shared" ca="1" si="10"/>
        <v>3.5000000000000003E-2</v>
      </c>
      <c r="M52" s="23">
        <f t="shared" ca="1" si="10"/>
        <v>3.5000000000000003E-2</v>
      </c>
      <c r="N52" s="23">
        <f t="shared" ca="1" si="10"/>
        <v>3.5000000000000003E-2</v>
      </c>
      <c r="O52" s="23">
        <f t="shared" ca="1" si="10"/>
        <v>3.5000000000000003E-2</v>
      </c>
    </row>
    <row r="53" spans="2:20" x14ac:dyDescent="0.25">
      <c r="H53" s="72" t="s">
        <v>145</v>
      </c>
      <c r="I53" s="247">
        <v>0.03</v>
      </c>
      <c r="J53" s="247">
        <v>0.03</v>
      </c>
      <c r="K53" s="247">
        <v>0.03</v>
      </c>
      <c r="L53" s="247">
        <v>0.03</v>
      </c>
      <c r="M53" s="247">
        <v>0.03</v>
      </c>
      <c r="N53" s="247">
        <v>0.03</v>
      </c>
      <c r="O53" s="247">
        <v>0.03</v>
      </c>
      <c r="Q53" t="s">
        <v>331</v>
      </c>
    </row>
    <row r="54" spans="2:20" x14ac:dyDescent="0.25">
      <c r="H54" s="72" t="s">
        <v>143</v>
      </c>
      <c r="I54" s="247">
        <v>0.03</v>
      </c>
      <c r="J54" s="247">
        <v>3.2500000000000001E-2</v>
      </c>
      <c r="K54" s="247">
        <v>3.5000000000000003E-2</v>
      </c>
      <c r="L54" s="247">
        <v>3.5000000000000003E-2</v>
      </c>
      <c r="M54" s="247">
        <v>3.5000000000000003E-2</v>
      </c>
      <c r="N54" s="247">
        <v>3.5000000000000003E-2</v>
      </c>
      <c r="O54" s="247">
        <v>3.5000000000000003E-2</v>
      </c>
      <c r="Q54" t="s">
        <v>320</v>
      </c>
      <c r="R54" s="248"/>
    </row>
    <row r="55" spans="2:20" x14ac:dyDescent="0.25">
      <c r="H55" s="72" t="s">
        <v>144</v>
      </c>
      <c r="I55" s="247">
        <v>3.5000000000000003E-2</v>
      </c>
      <c r="J55" s="247">
        <v>3.5000000000000003E-2</v>
      </c>
      <c r="K55" s="247">
        <v>3.5000000000000003E-2</v>
      </c>
      <c r="L55" s="247">
        <v>3.5000000000000003E-2</v>
      </c>
      <c r="M55" s="247">
        <v>3.5000000000000003E-2</v>
      </c>
      <c r="N55" s="247">
        <v>3.5000000000000003E-2</v>
      </c>
      <c r="O55" s="247">
        <v>3.5000000000000003E-2</v>
      </c>
      <c r="Q55" t="s">
        <v>362</v>
      </c>
    </row>
    <row r="56" spans="2:20" x14ac:dyDescent="0.25">
      <c r="H56" s="72"/>
      <c r="I56" s="82"/>
      <c r="J56" s="82"/>
      <c r="K56" s="82"/>
      <c r="L56" s="82"/>
      <c r="M56" s="82"/>
      <c r="N56" s="82"/>
      <c r="O56" s="82"/>
    </row>
    <row r="57" spans="2:20" x14ac:dyDescent="0.25">
      <c r="B57" t="s">
        <v>149</v>
      </c>
      <c r="D57" s="23"/>
      <c r="E57" s="77">
        <f>+'Revenue Build'!D17</f>
        <v>-8.2481326481962158E-2</v>
      </c>
      <c r="F57" s="77">
        <f>+'Revenue Build'!E17</f>
        <v>0.25428571428571423</v>
      </c>
      <c r="G57" s="80">
        <v>0.03</v>
      </c>
      <c r="H57" s="80">
        <v>0.03</v>
      </c>
      <c r="I57" s="23">
        <f ca="1">+OFFSET(I57,$Q$2,0)</f>
        <v>0.03</v>
      </c>
      <c r="J57" s="23">
        <f t="shared" ref="J57:O57" ca="1" si="11">+OFFSET(J57,$Q$2,0)</f>
        <v>0.03</v>
      </c>
      <c r="K57" s="23">
        <f t="shared" ca="1" si="11"/>
        <v>0.03</v>
      </c>
      <c r="L57" s="23">
        <f t="shared" ca="1" si="11"/>
        <v>0.03</v>
      </c>
      <c r="M57" s="23">
        <f t="shared" ca="1" si="11"/>
        <v>0.03</v>
      </c>
      <c r="N57" s="23">
        <f t="shared" ca="1" si="11"/>
        <v>0.03</v>
      </c>
      <c r="O57" s="23">
        <f t="shared" ca="1" si="11"/>
        <v>0.03</v>
      </c>
      <c r="Q57" t="s">
        <v>150</v>
      </c>
    </row>
    <row r="58" spans="2:20" x14ac:dyDescent="0.25">
      <c r="H58" s="72" t="s">
        <v>145</v>
      </c>
      <c r="I58" s="78">
        <v>0.03</v>
      </c>
      <c r="J58" s="78">
        <v>0.03</v>
      </c>
      <c r="K58" s="78">
        <v>0.03</v>
      </c>
      <c r="L58" s="78">
        <v>0.03</v>
      </c>
      <c r="M58" s="78">
        <v>0.03</v>
      </c>
      <c r="N58" s="78">
        <v>0.03</v>
      </c>
      <c r="O58" s="78">
        <v>0.03</v>
      </c>
      <c r="Q58" t="s">
        <v>436</v>
      </c>
    </row>
    <row r="59" spans="2:20" x14ac:dyDescent="0.25">
      <c r="H59" s="72" t="s">
        <v>143</v>
      </c>
      <c r="I59" s="78">
        <v>0.03</v>
      </c>
      <c r="J59" s="78">
        <v>0.03</v>
      </c>
      <c r="K59" s="78">
        <v>0.03</v>
      </c>
      <c r="L59" s="78">
        <v>0.03</v>
      </c>
      <c r="M59" s="78">
        <v>0.03</v>
      </c>
      <c r="N59" s="78">
        <v>0.03</v>
      </c>
      <c r="O59" s="78">
        <v>0.03</v>
      </c>
      <c r="Q59" t="s">
        <v>437</v>
      </c>
    </row>
    <row r="60" spans="2:20" x14ac:dyDescent="0.25">
      <c r="H60" s="72" t="s">
        <v>144</v>
      </c>
      <c r="I60" s="78">
        <v>0.03</v>
      </c>
      <c r="J60" s="78">
        <v>0.03</v>
      </c>
      <c r="K60" s="78">
        <v>0.03</v>
      </c>
      <c r="L60" s="78">
        <v>0.03</v>
      </c>
      <c r="M60" s="78">
        <v>0.03</v>
      </c>
      <c r="N60" s="78">
        <v>0.03</v>
      </c>
      <c r="O60" s="78">
        <v>0.03</v>
      </c>
    </row>
    <row r="61" spans="2:20" x14ac:dyDescent="0.25">
      <c r="H61" s="72"/>
      <c r="I61" s="82"/>
      <c r="J61" s="82"/>
      <c r="K61" s="82"/>
      <c r="L61" s="82"/>
      <c r="M61" s="82"/>
      <c r="N61" s="82"/>
      <c r="O61" s="82"/>
    </row>
    <row r="62" spans="2:20" x14ac:dyDescent="0.25">
      <c r="B62" t="s">
        <v>12</v>
      </c>
      <c r="C62" s="33"/>
      <c r="D62" s="33">
        <f>+'Revenue Build'!C22</f>
        <v>247.2592057761733</v>
      </c>
      <c r="E62" s="33">
        <f>+'Revenue Build'!D22</f>
        <v>235.83173734610114</v>
      </c>
      <c r="F62" s="33">
        <f>+'Revenue Build'!E22</f>
        <v>282.39899623588462</v>
      </c>
      <c r="G62" s="33">
        <f>+'Revenue Build'!F22</f>
        <v>94.451311953352842</v>
      </c>
      <c r="H62" s="33">
        <f>+'Revenue Build'!G22</f>
        <v>77.994726417772199</v>
      </c>
      <c r="I62" s="85">
        <f ca="1">+OFFSET(I62,$Q$2,0)</f>
        <v>81</v>
      </c>
      <c r="J62" s="85">
        <f t="shared" ref="J62:O62" ca="1" si="12">+OFFSET(J62,$Q$2,0)</f>
        <v>73.636363636363626</v>
      </c>
      <c r="K62" s="85">
        <f t="shared" ca="1" si="12"/>
        <v>66.942148760330568</v>
      </c>
      <c r="L62" s="85">
        <f t="shared" ca="1" si="12"/>
        <v>60.856498873027782</v>
      </c>
      <c r="M62" s="85">
        <f t="shared" ca="1" si="12"/>
        <v>55.324089884570704</v>
      </c>
      <c r="N62" s="85">
        <f t="shared" ca="1" si="12"/>
        <v>50.294627167791546</v>
      </c>
      <c r="O62" s="85">
        <f t="shared" ca="1" si="12"/>
        <v>45.722388334355948</v>
      </c>
    </row>
    <row r="63" spans="2:20" x14ac:dyDescent="0.25">
      <c r="H63" s="72" t="s">
        <v>145</v>
      </c>
      <c r="I63" s="84">
        <v>81</v>
      </c>
      <c r="J63" s="86">
        <f>+I63/1.15</f>
        <v>70.434782608695656</v>
      </c>
      <c r="K63" s="86">
        <f t="shared" ref="K63:O63" si="13">+J63/1.15</f>
        <v>61.247637051039703</v>
      </c>
      <c r="L63" s="86">
        <f t="shared" si="13"/>
        <v>53.258814826991049</v>
      </c>
      <c r="M63" s="86">
        <f t="shared" si="13"/>
        <v>46.3120128930357</v>
      </c>
      <c r="N63" s="86">
        <f t="shared" si="13"/>
        <v>40.271315559161479</v>
      </c>
      <c r="O63" s="86">
        <f t="shared" si="13"/>
        <v>35.018535268836075</v>
      </c>
      <c r="Q63" t="s">
        <v>318</v>
      </c>
    </row>
    <row r="64" spans="2:20" x14ac:dyDescent="0.25">
      <c r="H64" s="72" t="s">
        <v>143</v>
      </c>
      <c r="I64" s="83">
        <v>81</v>
      </c>
      <c r="J64" s="86">
        <f>+I64/1.1</f>
        <v>73.636363636363626</v>
      </c>
      <c r="K64" s="86">
        <f t="shared" ref="K64:O64" si="14">+J64/1.1</f>
        <v>66.942148760330568</v>
      </c>
      <c r="L64" s="86">
        <f t="shared" si="14"/>
        <v>60.856498873027782</v>
      </c>
      <c r="M64" s="86">
        <f t="shared" si="14"/>
        <v>55.324089884570704</v>
      </c>
      <c r="N64" s="86">
        <f t="shared" si="14"/>
        <v>50.294627167791546</v>
      </c>
      <c r="O64" s="86">
        <f t="shared" si="14"/>
        <v>45.722388334355948</v>
      </c>
      <c r="Q64" t="s">
        <v>451</v>
      </c>
    </row>
    <row r="65" spans="1:17" x14ac:dyDescent="0.25">
      <c r="H65" s="72" t="s">
        <v>144</v>
      </c>
      <c r="I65" s="83">
        <v>81</v>
      </c>
      <c r="J65" s="83">
        <v>81</v>
      </c>
      <c r="K65" s="83">
        <v>81</v>
      </c>
      <c r="L65" s="83">
        <v>81</v>
      </c>
      <c r="M65" s="83">
        <v>81</v>
      </c>
      <c r="N65" s="83">
        <v>81</v>
      </c>
      <c r="O65" s="83">
        <v>81</v>
      </c>
    </row>
    <row r="66" spans="1:17" x14ac:dyDescent="0.25">
      <c r="A66" t="s">
        <v>108</v>
      </c>
      <c r="B66" s="5" t="s">
        <v>202</v>
      </c>
    </row>
    <row r="67" spans="1:17" ht="2.1" customHeight="1" x14ac:dyDescent="0.25"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</row>
    <row r="68" spans="1:17" x14ac:dyDescent="0.25">
      <c r="B68" t="s">
        <v>179</v>
      </c>
      <c r="C68" s="141">
        <f>+'Op Model'!C50</f>
        <v>0.64726477024070017</v>
      </c>
      <c r="D68" s="141">
        <f>+'Op Model'!D50</f>
        <v>0.66108786610878656</v>
      </c>
      <c r="E68" s="141">
        <f>+'Op Model'!E50</f>
        <v>0.58596973865199453</v>
      </c>
      <c r="F68" s="141">
        <f>+'Op Model'!F50</f>
        <v>0.58320478210566906</v>
      </c>
      <c r="G68" s="141">
        <f>+'Op Model'!G50</f>
        <v>0.61459428848798647</v>
      </c>
      <c r="H68" s="141">
        <f>+'Op Model'!H50</f>
        <v>0.62279182542431588</v>
      </c>
      <c r="I68" s="254">
        <f ca="1">+OFFSET(I68,$Q$2,0)</f>
        <v>0.62</v>
      </c>
      <c r="J68" s="254">
        <f t="shared" ref="J68:O68" ca="1" si="15">+OFFSET(J68,$Q$2,0)</f>
        <v>0.62</v>
      </c>
      <c r="K68" s="254">
        <f t="shared" ca="1" si="15"/>
        <v>0.62</v>
      </c>
      <c r="L68" s="254">
        <f t="shared" ca="1" si="15"/>
        <v>0.62</v>
      </c>
      <c r="M68" s="254">
        <f t="shared" ca="1" si="15"/>
        <v>0.62</v>
      </c>
      <c r="N68" s="254">
        <f t="shared" ca="1" si="15"/>
        <v>0.62</v>
      </c>
      <c r="O68" s="254">
        <f t="shared" ca="1" si="15"/>
        <v>0.62</v>
      </c>
      <c r="Q68" s="341"/>
    </row>
    <row r="69" spans="1:17" x14ac:dyDescent="0.25">
      <c r="H69" s="72" t="s">
        <v>145</v>
      </c>
      <c r="I69" s="253">
        <v>0.62</v>
      </c>
      <c r="J69" s="253">
        <v>0.62</v>
      </c>
      <c r="K69" s="253">
        <v>0.62</v>
      </c>
      <c r="L69" s="253">
        <v>0.62</v>
      </c>
      <c r="M69" s="253">
        <v>0.62</v>
      </c>
      <c r="N69" s="253">
        <v>0.62</v>
      </c>
      <c r="O69" s="253">
        <v>0.62</v>
      </c>
      <c r="Q69" t="s">
        <v>438</v>
      </c>
    </row>
    <row r="70" spans="1:17" x14ac:dyDescent="0.25">
      <c r="H70" s="72" t="s">
        <v>143</v>
      </c>
      <c r="I70" s="253">
        <v>0.62</v>
      </c>
      <c r="J70" s="253">
        <v>0.62</v>
      </c>
      <c r="K70" s="253">
        <v>0.62</v>
      </c>
      <c r="L70" s="253">
        <v>0.62</v>
      </c>
      <c r="M70" s="253">
        <v>0.62</v>
      </c>
      <c r="N70" s="253">
        <v>0.62</v>
      </c>
      <c r="O70" s="253">
        <v>0.62</v>
      </c>
      <c r="Q70" t="s">
        <v>439</v>
      </c>
    </row>
    <row r="71" spans="1:17" x14ac:dyDescent="0.25">
      <c r="H71" s="72" t="s">
        <v>144</v>
      </c>
      <c r="I71" s="253">
        <v>0.62</v>
      </c>
      <c r="J71" s="253">
        <v>0.62</v>
      </c>
      <c r="K71" s="253">
        <v>0.62</v>
      </c>
      <c r="L71" s="253">
        <v>0.62</v>
      </c>
      <c r="M71" s="253">
        <v>0.62</v>
      </c>
      <c r="N71" s="253">
        <v>0.62</v>
      </c>
      <c r="O71" s="253">
        <v>0.62</v>
      </c>
      <c r="Q71" t="s">
        <v>440</v>
      </c>
    </row>
    <row r="74" spans="1:17" x14ac:dyDescent="0.25">
      <c r="B74" t="s">
        <v>181</v>
      </c>
      <c r="C74" s="141">
        <f>+'Op Model'!C51</f>
        <v>0.18205689277899342</v>
      </c>
      <c r="D74" s="141">
        <f>+'Op Model'!D51</f>
        <v>0.21297071129707112</v>
      </c>
      <c r="E74" s="141">
        <f>+'Op Model'!E51</f>
        <v>0.16822558459422282</v>
      </c>
      <c r="F74" s="141">
        <f>+'Op Model'!F51</f>
        <v>9.226764365599692E-2</v>
      </c>
      <c r="G74" s="141">
        <f>+'Op Model'!G51</f>
        <v>0.20354340263732709</v>
      </c>
      <c r="H74" s="141">
        <f>+'Op Model'!H51</f>
        <v>0.16411499826809839</v>
      </c>
      <c r="I74" s="254">
        <f ca="1">+OFFSET(I74,$Q$2,0)</f>
        <v>0.17</v>
      </c>
      <c r="J74" s="254">
        <f t="shared" ref="J74:O74" ca="1" si="16">+OFFSET(J74,$Q$2,0)</f>
        <v>0.17</v>
      </c>
      <c r="K74" s="254">
        <f t="shared" ca="1" si="16"/>
        <v>0.17</v>
      </c>
      <c r="L74" s="254">
        <f t="shared" ca="1" si="16"/>
        <v>0.17</v>
      </c>
      <c r="M74" s="254">
        <f t="shared" ca="1" si="16"/>
        <v>0.17</v>
      </c>
      <c r="N74" s="254">
        <f t="shared" ca="1" si="16"/>
        <v>0.17</v>
      </c>
      <c r="O74" s="254">
        <f t="shared" ca="1" si="16"/>
        <v>0.17</v>
      </c>
      <c r="Q74" s="341">
        <f>+AVERAGE(C74:H74)</f>
        <v>0.17052987220528495</v>
      </c>
    </row>
    <row r="75" spans="1:17" x14ac:dyDescent="0.25">
      <c r="H75" s="72" t="s">
        <v>145</v>
      </c>
      <c r="I75" s="253">
        <v>0.17</v>
      </c>
      <c r="J75" s="253">
        <v>0.17</v>
      </c>
      <c r="K75" s="253">
        <v>0.17</v>
      </c>
      <c r="L75" s="253">
        <v>0.17</v>
      </c>
      <c r="M75" s="253">
        <v>0.17</v>
      </c>
      <c r="N75" s="253">
        <v>0.17</v>
      </c>
      <c r="O75" s="253">
        <v>0.17</v>
      </c>
      <c r="Q75" t="s">
        <v>441</v>
      </c>
    </row>
    <row r="76" spans="1:17" x14ac:dyDescent="0.25">
      <c r="H76" s="72" t="s">
        <v>143</v>
      </c>
      <c r="I76" s="253">
        <v>0.17</v>
      </c>
      <c r="J76" s="253">
        <v>0.17</v>
      </c>
      <c r="K76" s="253">
        <v>0.17</v>
      </c>
      <c r="L76" s="253">
        <v>0.17</v>
      </c>
      <c r="M76" s="253">
        <v>0.17</v>
      </c>
      <c r="N76" s="253">
        <v>0.17</v>
      </c>
      <c r="O76" s="253">
        <v>0.17</v>
      </c>
    </row>
    <row r="77" spans="1:17" x14ac:dyDescent="0.25">
      <c r="H77" s="72" t="s">
        <v>144</v>
      </c>
      <c r="I77" s="253">
        <v>0.17</v>
      </c>
      <c r="J77" s="253">
        <v>0.17</v>
      </c>
      <c r="K77" s="253">
        <v>0.17</v>
      </c>
      <c r="L77" s="253">
        <v>0.17</v>
      </c>
      <c r="M77" s="253">
        <v>0.17</v>
      </c>
      <c r="N77" s="253">
        <v>0.17</v>
      </c>
      <c r="O77" s="253">
        <v>0.17</v>
      </c>
    </row>
    <row r="79" spans="1:17" x14ac:dyDescent="0.25">
      <c r="B79" t="s">
        <v>471</v>
      </c>
      <c r="C79" s="141">
        <f>+'Op Model'!C52</f>
        <v>-1.312910284463895E-3</v>
      </c>
      <c r="D79" s="141">
        <f>+'Op Model'!D52</f>
        <v>-8.368200836820083E-3</v>
      </c>
      <c r="E79" s="141">
        <f>+'Op Model'!E52</f>
        <v>-5.0894085281980743E-2</v>
      </c>
      <c r="F79" s="141">
        <f>+'Op Model'!F52</f>
        <v>-3.0563054377169298E-2</v>
      </c>
      <c r="G79" s="141">
        <f>+'Op Model'!G52</f>
        <v>9.2225548094814341E-3</v>
      </c>
      <c r="H79" s="141">
        <f>+'Op Model'!H52</f>
        <v>2.2722549359196396E-2</v>
      </c>
      <c r="I79" s="254">
        <f ca="1">+OFFSET(I79,$Q$2,0)</f>
        <v>5.0000000000000001E-3</v>
      </c>
      <c r="J79" s="254">
        <f t="shared" ref="J79:O79" ca="1" si="17">+OFFSET(J79,$Q$2,0)</f>
        <v>5.0000000000000001E-3</v>
      </c>
      <c r="K79" s="254">
        <f t="shared" ca="1" si="17"/>
        <v>5.0000000000000001E-3</v>
      </c>
      <c r="L79" s="254">
        <f t="shared" ca="1" si="17"/>
        <v>5.0000000000000001E-3</v>
      </c>
      <c r="M79" s="254">
        <f t="shared" ca="1" si="17"/>
        <v>5.0000000000000001E-3</v>
      </c>
      <c r="N79" s="254">
        <f t="shared" ca="1" si="17"/>
        <v>5.0000000000000001E-3</v>
      </c>
      <c r="O79" s="254">
        <f t="shared" ca="1" si="17"/>
        <v>5.0000000000000001E-3</v>
      </c>
    </row>
    <row r="80" spans="1:17" x14ac:dyDescent="0.25">
      <c r="H80" s="72" t="s">
        <v>145</v>
      </c>
      <c r="I80" s="253">
        <v>5.0000000000000001E-3</v>
      </c>
      <c r="J80" s="253">
        <v>5.0000000000000001E-3</v>
      </c>
      <c r="K80" s="253">
        <v>5.0000000000000001E-3</v>
      </c>
      <c r="L80" s="253">
        <v>5.0000000000000001E-3</v>
      </c>
      <c r="M80" s="253">
        <v>5.0000000000000001E-3</v>
      </c>
      <c r="N80" s="253">
        <v>5.0000000000000001E-3</v>
      </c>
      <c r="O80" s="253">
        <v>5.0000000000000001E-3</v>
      </c>
      <c r="Q80" t="s">
        <v>472</v>
      </c>
    </row>
    <row r="81" spans="2:17" x14ac:dyDescent="0.25">
      <c r="H81" s="72" t="s">
        <v>143</v>
      </c>
      <c r="I81" s="253">
        <v>5.0000000000000001E-3</v>
      </c>
      <c r="J81" s="253">
        <v>5.0000000000000001E-3</v>
      </c>
      <c r="K81" s="253">
        <v>5.0000000000000001E-3</v>
      </c>
      <c r="L81" s="253">
        <v>5.0000000000000001E-3</v>
      </c>
      <c r="M81" s="253">
        <v>5.0000000000000001E-3</v>
      </c>
      <c r="N81" s="253">
        <v>5.0000000000000001E-3</v>
      </c>
      <c r="O81" s="253">
        <v>5.0000000000000001E-3</v>
      </c>
    </row>
    <row r="82" spans="2:17" x14ac:dyDescent="0.25">
      <c r="H82" s="72" t="s">
        <v>144</v>
      </c>
      <c r="I82" s="253">
        <v>5.0000000000000001E-3</v>
      </c>
      <c r="J82" s="253">
        <v>5.0000000000000001E-3</v>
      </c>
      <c r="K82" s="253">
        <v>5.0000000000000001E-3</v>
      </c>
      <c r="L82" s="253">
        <v>5.0000000000000001E-3</v>
      </c>
      <c r="M82" s="253">
        <v>5.0000000000000001E-3</v>
      </c>
      <c r="N82" s="253">
        <v>5.0000000000000001E-3</v>
      </c>
      <c r="O82" s="253">
        <v>5.0000000000000001E-3</v>
      </c>
    </row>
    <row r="84" spans="2:17" x14ac:dyDescent="0.25">
      <c r="B84" t="s">
        <v>183</v>
      </c>
      <c r="C84" s="141">
        <f>+'Op Model'!C53</f>
        <v>7.264770240700219E-2</v>
      </c>
      <c r="D84" s="141">
        <f>+'Op Model'!D53</f>
        <v>2.3849372384937239E-2</v>
      </c>
      <c r="E84" s="141">
        <f>+'Op Model'!E53</f>
        <v>7.34525447042641E-2</v>
      </c>
      <c r="F84" s="141">
        <f>+'Op Model'!F53</f>
        <v>5.7751639028152717E-2</v>
      </c>
      <c r="G84" s="141">
        <f>+'Op Model'!G53</f>
        <v>2.8072162446404016E-2</v>
      </c>
      <c r="H84" s="141">
        <f>+'Op Model'!H53</f>
        <v>2.5701420159334951E-2</v>
      </c>
      <c r="I84" s="143">
        <f ca="1">+OFFSET(I84,$Q$2,0)</f>
        <v>0.03</v>
      </c>
      <c r="J84" s="143">
        <f t="shared" ref="J84:O84" ca="1" si="18">+OFFSET(J84,$Q$2,0)</f>
        <v>0.03</v>
      </c>
      <c r="K84" s="143">
        <f t="shared" ca="1" si="18"/>
        <v>0.03</v>
      </c>
      <c r="L84" s="143">
        <f t="shared" ca="1" si="18"/>
        <v>0.03</v>
      </c>
      <c r="M84" s="143">
        <f t="shared" ca="1" si="18"/>
        <v>0.03</v>
      </c>
      <c r="N84" s="143">
        <f t="shared" ca="1" si="18"/>
        <v>0.03</v>
      </c>
      <c r="O84" s="143">
        <f t="shared" ca="1" si="18"/>
        <v>0.03</v>
      </c>
    </row>
    <row r="85" spans="2:17" x14ac:dyDescent="0.25">
      <c r="H85" s="72" t="s">
        <v>145</v>
      </c>
      <c r="I85" s="142">
        <v>0.04</v>
      </c>
      <c r="J85" s="142">
        <v>0.04</v>
      </c>
      <c r="K85" s="142">
        <v>0.04</v>
      </c>
      <c r="L85" s="142">
        <v>0.04</v>
      </c>
      <c r="M85" s="142">
        <v>0.04</v>
      </c>
      <c r="N85" s="142">
        <v>0.04</v>
      </c>
      <c r="O85" s="142">
        <v>0.04</v>
      </c>
      <c r="Q85" t="s">
        <v>328</v>
      </c>
    </row>
    <row r="86" spans="2:17" x14ac:dyDescent="0.25">
      <c r="H86" s="72" t="s">
        <v>143</v>
      </c>
      <c r="I86" s="78">
        <v>0.03</v>
      </c>
      <c r="J86" s="78">
        <v>0.03</v>
      </c>
      <c r="K86" s="78">
        <v>0.03</v>
      </c>
      <c r="L86" s="78">
        <v>0.03</v>
      </c>
      <c r="M86" s="78">
        <v>0.03</v>
      </c>
      <c r="N86" s="78">
        <v>0.03</v>
      </c>
      <c r="O86" s="78">
        <v>0.03</v>
      </c>
    </row>
    <row r="87" spans="2:17" x14ac:dyDescent="0.25">
      <c r="H87" s="72" t="s">
        <v>144</v>
      </c>
      <c r="I87" s="78">
        <v>0.03</v>
      </c>
      <c r="J87" s="78">
        <v>0.03</v>
      </c>
      <c r="K87" s="78">
        <v>0.03</v>
      </c>
      <c r="L87" s="78">
        <v>0.03</v>
      </c>
      <c r="M87" s="78">
        <v>0.03</v>
      </c>
      <c r="N87" s="78">
        <v>0.03</v>
      </c>
      <c r="O87" s="78">
        <v>0.03</v>
      </c>
    </row>
    <row r="89" spans="2:17" x14ac:dyDescent="0.25">
      <c r="B89" t="s">
        <v>184</v>
      </c>
      <c r="C89" s="141">
        <f>+'Op Model'!C55</f>
        <v>2.3632385120350111E-2</v>
      </c>
      <c r="D89" s="141">
        <f>+'Op Model'!D55</f>
        <v>2.5523012552301255E-2</v>
      </c>
      <c r="E89" s="141">
        <f>+'Op Model'!E55</f>
        <v>5.5845942228335631E-2</v>
      </c>
      <c r="F89" s="141">
        <f>+'Op Model'!F55</f>
        <v>5.9872734284612414E-2</v>
      </c>
      <c r="G89" s="141">
        <f>+'Op Model'!G55</f>
        <v>5.7762316964646884E-2</v>
      </c>
      <c r="H89" s="141">
        <f>+'Op Model'!H55</f>
        <v>6.1517145826117073E-2</v>
      </c>
      <c r="I89" s="254">
        <f ca="1">+OFFSET(I89,$Q$2,0)</f>
        <v>0.06</v>
      </c>
      <c r="J89" s="254">
        <f t="shared" ref="J89:O89" ca="1" si="19">+OFFSET(J89,$Q$2,0)</f>
        <v>0.06</v>
      </c>
      <c r="K89" s="254">
        <f t="shared" ca="1" si="19"/>
        <v>0.06</v>
      </c>
      <c r="L89" s="254">
        <f t="shared" ca="1" si="19"/>
        <v>0.06</v>
      </c>
      <c r="M89" s="254">
        <f t="shared" ca="1" si="19"/>
        <v>0.06</v>
      </c>
      <c r="N89" s="254">
        <f t="shared" ca="1" si="19"/>
        <v>0.06</v>
      </c>
      <c r="O89" s="254">
        <f t="shared" ca="1" si="19"/>
        <v>0.06</v>
      </c>
      <c r="Q89" t="s">
        <v>329</v>
      </c>
    </row>
    <row r="90" spans="2:17" x14ac:dyDescent="0.25">
      <c r="H90" s="72" t="s">
        <v>145</v>
      </c>
      <c r="I90" s="253">
        <v>0.06</v>
      </c>
      <c r="J90" s="253">
        <v>0.06</v>
      </c>
      <c r="K90" s="253">
        <v>0.06</v>
      </c>
      <c r="L90" s="253">
        <v>0.06</v>
      </c>
      <c r="M90" s="253">
        <v>0.06</v>
      </c>
      <c r="N90" s="253">
        <v>0.06</v>
      </c>
      <c r="O90" s="253">
        <v>0.06</v>
      </c>
    </row>
    <row r="91" spans="2:17" x14ac:dyDescent="0.25">
      <c r="H91" s="72" t="s">
        <v>143</v>
      </c>
      <c r="I91" s="247">
        <v>0.06</v>
      </c>
      <c r="J91" s="247">
        <v>0.06</v>
      </c>
      <c r="K91" s="247">
        <v>0.06</v>
      </c>
      <c r="L91" s="247">
        <v>0.06</v>
      </c>
      <c r="M91" s="247">
        <v>0.06</v>
      </c>
      <c r="N91" s="247">
        <v>0.06</v>
      </c>
      <c r="O91" s="247">
        <v>0.06</v>
      </c>
    </row>
    <row r="92" spans="2:17" x14ac:dyDescent="0.25">
      <c r="H92" s="72" t="s">
        <v>144</v>
      </c>
      <c r="I92" s="247">
        <v>0.06</v>
      </c>
      <c r="J92" s="247">
        <v>0.06</v>
      </c>
      <c r="K92" s="247">
        <v>0.06</v>
      </c>
      <c r="L92" s="247">
        <v>0.06</v>
      </c>
      <c r="M92" s="247">
        <v>0.06</v>
      </c>
      <c r="N92" s="247">
        <v>0.06</v>
      </c>
      <c r="O92" s="247">
        <v>0.06</v>
      </c>
    </row>
    <row r="94" spans="2:17" x14ac:dyDescent="0.25">
      <c r="B94" t="s">
        <v>185</v>
      </c>
      <c r="C94" s="141">
        <f>+'Op Model'!C56</f>
        <v>4.0700218818380741E-2</v>
      </c>
      <c r="D94" s="141">
        <f>+'Op Model'!D56</f>
        <v>4.5188284518828455E-2</v>
      </c>
      <c r="E94" s="141">
        <f>+'Op Model'!E56</f>
        <v>0.12929848693259974</v>
      </c>
      <c r="F94" s="141">
        <f>+'Op Model'!F56</f>
        <v>9.9402236791361342E-2</v>
      </c>
      <c r="G94" s="141">
        <f>+'Op Model'!G56</f>
        <v>0.10678747674136398</v>
      </c>
      <c r="H94" s="141">
        <f>+'Op Model'!H56</f>
        <v>0.12504329754069968</v>
      </c>
      <c r="I94" s="143">
        <f ca="1">+OFFSET(I94,$Q$2,0)</f>
        <v>0.13</v>
      </c>
      <c r="J94" s="143">
        <f t="shared" ref="J94:O94" ca="1" si="20">+OFFSET(J94,$Q$2,0)</f>
        <v>0.13</v>
      </c>
      <c r="K94" s="143">
        <f t="shared" ca="1" si="20"/>
        <v>0.14000000000000001</v>
      </c>
      <c r="L94" s="143">
        <f t="shared" ca="1" si="20"/>
        <v>0.15</v>
      </c>
      <c r="M94" s="143">
        <f t="shared" ca="1" si="20"/>
        <v>0.14000000000000001</v>
      </c>
      <c r="N94" s="143">
        <f t="shared" ca="1" si="20"/>
        <v>0.13</v>
      </c>
      <c r="O94" s="143">
        <f t="shared" ca="1" si="20"/>
        <v>0.13</v>
      </c>
    </row>
    <row r="95" spans="2:17" x14ac:dyDescent="0.25">
      <c r="H95" s="72" t="s">
        <v>145</v>
      </c>
      <c r="I95" s="78">
        <v>0.12</v>
      </c>
      <c r="J95" s="78">
        <v>0.12</v>
      </c>
      <c r="K95" s="78">
        <v>0.12</v>
      </c>
      <c r="L95" s="78">
        <v>0.12</v>
      </c>
      <c r="M95" s="78">
        <v>0.1</v>
      </c>
      <c r="N95" s="78">
        <v>0.1</v>
      </c>
      <c r="O95" s="78">
        <v>0.1</v>
      </c>
      <c r="Q95" t="s">
        <v>442</v>
      </c>
    </row>
    <row r="96" spans="2:17" x14ac:dyDescent="0.25">
      <c r="H96" s="72" t="s">
        <v>143</v>
      </c>
      <c r="I96" s="78">
        <v>0.13</v>
      </c>
      <c r="J96" s="78">
        <v>0.13</v>
      </c>
      <c r="K96" s="78">
        <v>0.14000000000000001</v>
      </c>
      <c r="L96" s="78">
        <v>0.15</v>
      </c>
      <c r="M96" s="78">
        <v>0.14000000000000001</v>
      </c>
      <c r="N96" s="78">
        <v>0.13</v>
      </c>
      <c r="O96" s="78">
        <v>0.13</v>
      </c>
      <c r="Q96" t="s">
        <v>443</v>
      </c>
    </row>
    <row r="97" spans="1:17" x14ac:dyDescent="0.25">
      <c r="H97" s="72" t="s">
        <v>144</v>
      </c>
      <c r="I97" s="78">
        <v>0.13</v>
      </c>
      <c r="J97" s="78">
        <v>0.13</v>
      </c>
      <c r="K97" s="78">
        <v>0.14000000000000001</v>
      </c>
      <c r="L97" s="78">
        <v>0.15</v>
      </c>
      <c r="M97" s="78">
        <v>0.14000000000000001</v>
      </c>
      <c r="N97" s="78">
        <v>0.13</v>
      </c>
      <c r="O97" s="78">
        <v>0.13</v>
      </c>
    </row>
    <row r="99" spans="1:17" x14ac:dyDescent="0.25">
      <c r="A99" t="s">
        <v>108</v>
      </c>
      <c r="B99" s="20" t="s">
        <v>337</v>
      </c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t="s">
        <v>447</v>
      </c>
    </row>
    <row r="100" spans="1:17" ht="2.1" customHeight="1" x14ac:dyDescent="0.25"/>
    <row r="101" spans="1:17" x14ac:dyDescent="0.25">
      <c r="B101" t="s">
        <v>428</v>
      </c>
      <c r="C101" s="141">
        <f>+'Op Model'!C58</f>
        <v>4.2013129102844639E-2</v>
      </c>
      <c r="D101" s="141">
        <f>+'Op Model'!D58</f>
        <v>6.6527196652719667E-2</v>
      </c>
      <c r="E101" s="141">
        <f>+'Op Model'!E58</f>
        <v>1.0453920220082531</v>
      </c>
      <c r="F101" s="141">
        <f>+'Op Model'!F58</f>
        <v>0.11820285383725414</v>
      </c>
      <c r="G101" s="141">
        <f>+'Op Model'!G58</f>
        <v>1.8930507240514521E-2</v>
      </c>
      <c r="H101" s="141">
        <f>+'Op Model'!H58</f>
        <v>0.2834083824038795</v>
      </c>
      <c r="I101" s="143">
        <f ca="1">+OFFSET(I101,$Q$2,0)</f>
        <v>0.15</v>
      </c>
      <c r="J101" s="143">
        <f t="shared" ref="J101:O101" ca="1" si="21">+OFFSET(J101,$Q$2,0)</f>
        <v>0.15</v>
      </c>
      <c r="K101" s="143">
        <f t="shared" ca="1" si="21"/>
        <v>0.15</v>
      </c>
      <c r="L101" s="143">
        <f t="shared" ca="1" si="21"/>
        <v>0.15</v>
      </c>
      <c r="M101" s="143">
        <f t="shared" ca="1" si="21"/>
        <v>0.15</v>
      </c>
      <c r="N101" s="143">
        <f t="shared" ca="1" si="21"/>
        <v>0.15</v>
      </c>
      <c r="O101" s="143">
        <f t="shared" ca="1" si="21"/>
        <v>0.15</v>
      </c>
      <c r="Q101" s="341"/>
    </row>
    <row r="102" spans="1:17" x14ac:dyDescent="0.25">
      <c r="H102" s="72" t="s">
        <v>145</v>
      </c>
      <c r="I102" s="142">
        <v>0.15</v>
      </c>
      <c r="J102" s="142">
        <v>0.15</v>
      </c>
      <c r="K102" s="142">
        <v>0.15</v>
      </c>
      <c r="L102" s="142">
        <v>0.15</v>
      </c>
      <c r="M102" s="142">
        <v>0.15</v>
      </c>
      <c r="N102" s="142">
        <v>0.15</v>
      </c>
      <c r="O102" s="142">
        <v>0.15</v>
      </c>
    </row>
    <row r="103" spans="1:17" x14ac:dyDescent="0.25">
      <c r="H103" s="72" t="s">
        <v>143</v>
      </c>
      <c r="I103" s="142">
        <v>0.15</v>
      </c>
      <c r="J103" s="142">
        <v>0.15</v>
      </c>
      <c r="K103" s="142">
        <v>0.15</v>
      </c>
      <c r="L103" s="142">
        <v>0.15</v>
      </c>
      <c r="M103" s="142">
        <v>0.15</v>
      </c>
      <c r="N103" s="142">
        <v>0.15</v>
      </c>
      <c r="O103" s="142">
        <v>0.15</v>
      </c>
    </row>
    <row r="104" spans="1:17" x14ac:dyDescent="0.25">
      <c r="H104" s="72" t="s">
        <v>144</v>
      </c>
      <c r="I104" s="142">
        <v>0.15</v>
      </c>
      <c r="J104" s="142">
        <v>0.15</v>
      </c>
      <c r="K104" s="142">
        <v>0.15</v>
      </c>
      <c r="L104" s="142">
        <v>0.15</v>
      </c>
      <c r="M104" s="142">
        <v>0.15</v>
      </c>
      <c r="N104" s="142">
        <v>0.15</v>
      </c>
      <c r="O104" s="142">
        <v>0.15</v>
      </c>
    </row>
    <row r="106" spans="1:17" x14ac:dyDescent="0.25">
      <c r="B106" t="s">
        <v>429</v>
      </c>
      <c r="C106" s="141">
        <f>+'Op Model'!C59</f>
        <v>0</v>
      </c>
      <c r="D106" s="141">
        <f>+'Op Model'!D59</f>
        <v>0</v>
      </c>
      <c r="E106" s="141">
        <f>+'Op Model'!E59</f>
        <v>0</v>
      </c>
      <c r="F106" s="141">
        <f>+'Op Model'!F59</f>
        <v>0</v>
      </c>
      <c r="G106" s="141">
        <f>+'Op Model'!G59</f>
        <v>0</v>
      </c>
      <c r="H106" s="141">
        <f>+'Op Model'!H59</f>
        <v>0.24073432629026673</v>
      </c>
      <c r="I106" s="143">
        <f ca="1">+OFFSET(I106,$Q$2,0)</f>
        <v>0</v>
      </c>
      <c r="J106" s="143">
        <f t="shared" ref="J106:O106" ca="1" si="22">+OFFSET(J106,$Q$2,0)</f>
        <v>0</v>
      </c>
      <c r="K106" s="143">
        <f t="shared" ca="1" si="22"/>
        <v>0</v>
      </c>
      <c r="L106" s="143">
        <f t="shared" ca="1" si="22"/>
        <v>0</v>
      </c>
      <c r="M106" s="143">
        <f t="shared" ca="1" si="22"/>
        <v>0</v>
      </c>
      <c r="N106" s="143">
        <f t="shared" ca="1" si="22"/>
        <v>0</v>
      </c>
      <c r="O106" s="143">
        <f t="shared" ca="1" si="22"/>
        <v>0</v>
      </c>
    </row>
    <row r="107" spans="1:17" x14ac:dyDescent="0.25">
      <c r="H107" s="72" t="s">
        <v>145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2">
        <v>0</v>
      </c>
    </row>
    <row r="108" spans="1:17" x14ac:dyDescent="0.25">
      <c r="H108" s="72" t="s">
        <v>143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</row>
    <row r="109" spans="1:17" x14ac:dyDescent="0.25">
      <c r="H109" s="72" t="s">
        <v>144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2">
        <v>0</v>
      </c>
    </row>
    <row r="111" spans="1:17" x14ac:dyDescent="0.25">
      <c r="B111" t="s">
        <v>430</v>
      </c>
      <c r="C111" s="141">
        <f>+'Op Model'!C60</f>
        <v>0.27653820148749153</v>
      </c>
      <c r="D111" s="141">
        <f>+'Op Model'!D60</f>
        <v>0.2537974683544304</v>
      </c>
      <c r="E111" s="141">
        <f>+'Op Model'!E60</f>
        <v>1.016431924882629</v>
      </c>
      <c r="F111" s="141">
        <f>+'Op Model'!F60</f>
        <v>0.10795172755827409</v>
      </c>
      <c r="G111" s="141">
        <f>+'Op Model'!G60</f>
        <v>8.7008029485323143E-2</v>
      </c>
      <c r="H111" s="141">
        <f>+'Op Model'!H60</f>
        <v>9.0433815350389316E-2</v>
      </c>
      <c r="I111" s="143">
        <f ca="1">+OFFSET(I111,$Q$2,0)</f>
        <v>0.13</v>
      </c>
      <c r="J111" s="143">
        <f t="shared" ref="J111:O111" ca="1" si="23">+OFFSET(J111,$Q$2,0)</f>
        <v>0.13</v>
      </c>
      <c r="K111" s="143">
        <f t="shared" ca="1" si="23"/>
        <v>0.13</v>
      </c>
      <c r="L111" s="143">
        <f t="shared" ca="1" si="23"/>
        <v>0.13</v>
      </c>
      <c r="M111" s="143">
        <f t="shared" ca="1" si="23"/>
        <v>0.13</v>
      </c>
      <c r="N111" s="143">
        <f t="shared" ca="1" si="23"/>
        <v>0.13</v>
      </c>
      <c r="O111" s="143">
        <f t="shared" ca="1" si="23"/>
        <v>0.13</v>
      </c>
      <c r="Q111" s="341"/>
    </row>
    <row r="112" spans="1:17" x14ac:dyDescent="0.25">
      <c r="H112" s="72" t="s">
        <v>145</v>
      </c>
      <c r="I112" s="142">
        <v>0.13</v>
      </c>
      <c r="J112" s="142">
        <v>0.13</v>
      </c>
      <c r="K112" s="142">
        <v>0.13</v>
      </c>
      <c r="L112" s="142">
        <v>0.13</v>
      </c>
      <c r="M112" s="142">
        <v>0.13</v>
      </c>
      <c r="N112" s="142">
        <v>0.13</v>
      </c>
      <c r="O112" s="142">
        <v>0.13</v>
      </c>
    </row>
    <row r="113" spans="2:15" x14ac:dyDescent="0.25">
      <c r="H113" s="72" t="s">
        <v>143</v>
      </c>
      <c r="I113" s="142">
        <v>0.13</v>
      </c>
      <c r="J113" s="142">
        <v>0.13</v>
      </c>
      <c r="K113" s="142">
        <v>0.13</v>
      </c>
      <c r="L113" s="142">
        <v>0.13</v>
      </c>
      <c r="M113" s="142">
        <v>0.13</v>
      </c>
      <c r="N113" s="142">
        <v>0.13</v>
      </c>
      <c r="O113" s="142">
        <v>0.13</v>
      </c>
    </row>
    <row r="114" spans="2:15" x14ac:dyDescent="0.25">
      <c r="H114" s="72" t="s">
        <v>144</v>
      </c>
      <c r="I114" s="142">
        <v>0.13</v>
      </c>
      <c r="J114" s="142">
        <v>0.13</v>
      </c>
      <c r="K114" s="142">
        <v>0.13</v>
      </c>
      <c r="L114" s="142">
        <v>0.13</v>
      </c>
      <c r="M114" s="142">
        <v>0.13</v>
      </c>
      <c r="N114" s="142">
        <v>0.13</v>
      </c>
      <c r="O114" s="142">
        <v>0.13</v>
      </c>
    </row>
    <row r="116" spans="2:15" x14ac:dyDescent="0.25">
      <c r="B116" t="s">
        <v>431</v>
      </c>
      <c r="C116" s="141">
        <f>+'Op Model'!C61</f>
        <v>0.11899932386747802</v>
      </c>
      <c r="D116" s="141">
        <f>+'Op Model'!D61</f>
        <v>0.12278481012658228</v>
      </c>
      <c r="E116" s="141">
        <f>+'Op Model'!E61</f>
        <v>0.46713615023474181</v>
      </c>
      <c r="F116" s="141">
        <f>+'Op Model'!F61</f>
        <v>4.5296743263349315E-2</v>
      </c>
      <c r="G116" s="141">
        <f>+'Op Model'!G61</f>
        <v>3.8699486639462939E-2</v>
      </c>
      <c r="H116" s="141">
        <f>+'Op Model'!H61</f>
        <v>3.7041156840934369E-2</v>
      </c>
      <c r="I116" s="143">
        <f ca="1">+OFFSET(I116,$Q$2,0)</f>
        <v>0.04</v>
      </c>
      <c r="J116" s="143">
        <f t="shared" ref="J116:O116" ca="1" si="24">+OFFSET(J116,$Q$2,0)</f>
        <v>0.04</v>
      </c>
      <c r="K116" s="143">
        <f t="shared" ca="1" si="24"/>
        <v>0.04</v>
      </c>
      <c r="L116" s="143">
        <f t="shared" ca="1" si="24"/>
        <v>0.04</v>
      </c>
      <c r="M116" s="143">
        <f t="shared" ca="1" si="24"/>
        <v>0.04</v>
      </c>
      <c r="N116" s="143">
        <f t="shared" ca="1" si="24"/>
        <v>0.04</v>
      </c>
      <c r="O116" s="143">
        <f t="shared" ca="1" si="24"/>
        <v>0.04</v>
      </c>
    </row>
    <row r="117" spans="2:15" x14ac:dyDescent="0.25">
      <c r="H117" s="72" t="s">
        <v>145</v>
      </c>
      <c r="I117" s="142">
        <v>0.04</v>
      </c>
      <c r="J117" s="142">
        <v>0.04</v>
      </c>
      <c r="K117" s="142">
        <v>0.04</v>
      </c>
      <c r="L117" s="142">
        <v>0.04</v>
      </c>
      <c r="M117" s="142">
        <v>0.04</v>
      </c>
      <c r="N117" s="142">
        <v>0.04</v>
      </c>
      <c r="O117" s="142">
        <v>0.04</v>
      </c>
    </row>
    <row r="118" spans="2:15" x14ac:dyDescent="0.25">
      <c r="H118" s="72" t="s">
        <v>143</v>
      </c>
      <c r="I118" s="142">
        <v>0.04</v>
      </c>
      <c r="J118" s="142">
        <v>0.04</v>
      </c>
      <c r="K118" s="142">
        <v>0.04</v>
      </c>
      <c r="L118" s="142">
        <v>0.04</v>
      </c>
      <c r="M118" s="142">
        <v>0.04</v>
      </c>
      <c r="N118" s="142">
        <v>0.04</v>
      </c>
      <c r="O118" s="142">
        <v>0.04</v>
      </c>
    </row>
    <row r="119" spans="2:15" x14ac:dyDescent="0.25">
      <c r="H119" s="72" t="s">
        <v>144</v>
      </c>
      <c r="I119" s="142">
        <v>0.04</v>
      </c>
      <c r="J119" s="142">
        <v>0.04</v>
      </c>
      <c r="K119" s="142">
        <v>0.04</v>
      </c>
      <c r="L119" s="142">
        <v>0.04</v>
      </c>
      <c r="M119" s="142">
        <v>0.04</v>
      </c>
      <c r="N119" s="142">
        <v>0.04</v>
      </c>
      <c r="O119" s="142">
        <v>0.04</v>
      </c>
    </row>
    <row r="122" spans="2:15" x14ac:dyDescent="0.25">
      <c r="B122" t="s">
        <v>432</v>
      </c>
      <c r="C122" s="141">
        <f>+'Op Model'!C62</f>
        <v>2.9749830966869506E-2</v>
      </c>
      <c r="D122" s="141">
        <f>+'Op Model'!D62</f>
        <v>2.7215189873417721E-2</v>
      </c>
      <c r="E122" s="141">
        <f>+'Op Model'!E62</f>
        <v>0.107981220657277</v>
      </c>
      <c r="F122" s="141">
        <f>+'Op Model'!F62</f>
        <v>4.5131426682096215E-2</v>
      </c>
      <c r="G122" s="141">
        <f>+'Op Model'!G62</f>
        <v>5.0019744636040538E-2</v>
      </c>
      <c r="H122" s="141">
        <f>+'Op Model'!H62</f>
        <v>7.2858731924360404E-2</v>
      </c>
      <c r="I122" s="143">
        <f ca="1">+OFFSET(I122,$Q$2,0)</f>
        <v>0.05</v>
      </c>
      <c r="J122" s="143">
        <f t="shared" ref="J122:O122" ca="1" si="25">+OFFSET(J122,$Q$2,0)</f>
        <v>0.05</v>
      </c>
      <c r="K122" s="143">
        <f t="shared" ca="1" si="25"/>
        <v>0.05</v>
      </c>
      <c r="L122" s="143">
        <f t="shared" ca="1" si="25"/>
        <v>0.05</v>
      </c>
      <c r="M122" s="143">
        <f t="shared" ca="1" si="25"/>
        <v>0.05</v>
      </c>
      <c r="N122" s="143">
        <f t="shared" ca="1" si="25"/>
        <v>0.05</v>
      </c>
      <c r="O122" s="143">
        <f t="shared" ca="1" si="25"/>
        <v>0.05</v>
      </c>
    </row>
    <row r="123" spans="2:15" x14ac:dyDescent="0.25">
      <c r="H123" s="72" t="s">
        <v>145</v>
      </c>
      <c r="I123" s="142">
        <v>0.05</v>
      </c>
      <c r="J123" s="142">
        <v>0.05</v>
      </c>
      <c r="K123" s="142">
        <v>0.05</v>
      </c>
      <c r="L123" s="142">
        <v>0.05</v>
      </c>
      <c r="M123" s="142">
        <v>0.05</v>
      </c>
      <c r="N123" s="142">
        <v>0.05</v>
      </c>
      <c r="O123" s="142">
        <v>0.05</v>
      </c>
    </row>
    <row r="124" spans="2:15" x14ac:dyDescent="0.25">
      <c r="H124" s="72" t="s">
        <v>143</v>
      </c>
      <c r="I124" s="142">
        <v>0.05</v>
      </c>
      <c r="J124" s="142">
        <v>0.05</v>
      </c>
      <c r="K124" s="142">
        <v>0.05</v>
      </c>
      <c r="L124" s="142">
        <v>0.05</v>
      </c>
      <c r="M124" s="142">
        <v>0.05</v>
      </c>
      <c r="N124" s="142">
        <v>0.05</v>
      </c>
      <c r="O124" s="142">
        <v>0.05</v>
      </c>
    </row>
    <row r="125" spans="2:15" x14ac:dyDescent="0.25">
      <c r="H125" s="72" t="s">
        <v>144</v>
      </c>
      <c r="I125" s="142">
        <v>0.05</v>
      </c>
      <c r="J125" s="142">
        <v>0.05</v>
      </c>
      <c r="K125" s="142">
        <v>0.05</v>
      </c>
      <c r="L125" s="142">
        <v>0.05</v>
      </c>
      <c r="M125" s="142">
        <v>0.05</v>
      </c>
      <c r="N125" s="142">
        <v>0.05</v>
      </c>
      <c r="O125" s="142">
        <v>0.05</v>
      </c>
    </row>
    <row r="127" spans="2:15" x14ac:dyDescent="0.25">
      <c r="B127" t="s">
        <v>433</v>
      </c>
      <c r="C127" s="141">
        <f>+'Op Model'!C64</f>
        <v>0.12035158891142664</v>
      </c>
      <c r="D127" s="141">
        <f>+'Op Model'!D64</f>
        <v>0.10822784810126582</v>
      </c>
      <c r="E127" s="141">
        <f>+'Op Model'!E64</f>
        <v>0.44366197183098594</v>
      </c>
      <c r="F127" s="141">
        <f>+'Op Model'!F64</f>
        <v>6.3812200363696489E-2</v>
      </c>
      <c r="G127" s="141">
        <f>+'Op Model'!G64</f>
        <v>5.9233908121626953E-2</v>
      </c>
      <c r="H127" s="141">
        <f>+'Op Model'!H64</f>
        <v>0.13203559510567298</v>
      </c>
      <c r="I127" s="143">
        <f ca="1">+OFFSET(I127,$Q$2,0)</f>
        <v>0.1</v>
      </c>
      <c r="J127" s="143">
        <f t="shared" ref="J127:O127" ca="1" si="26">+OFFSET(J127,$Q$2,0)</f>
        <v>0.1</v>
      </c>
      <c r="K127" s="143">
        <f t="shared" ca="1" si="26"/>
        <v>0.1</v>
      </c>
      <c r="L127" s="143">
        <f t="shared" ca="1" si="26"/>
        <v>0.1</v>
      </c>
      <c r="M127" s="143">
        <f t="shared" ca="1" si="26"/>
        <v>0.1</v>
      </c>
      <c r="N127" s="143">
        <f t="shared" ca="1" si="26"/>
        <v>0.1</v>
      </c>
      <c r="O127" s="143">
        <f t="shared" ca="1" si="26"/>
        <v>0.1</v>
      </c>
    </row>
    <row r="128" spans="2:15" x14ac:dyDescent="0.25">
      <c r="H128" s="72" t="s">
        <v>145</v>
      </c>
      <c r="I128" s="142">
        <v>0.1</v>
      </c>
      <c r="J128" s="142">
        <v>0.1</v>
      </c>
      <c r="K128" s="142">
        <v>0.1</v>
      </c>
      <c r="L128" s="142">
        <v>0.1</v>
      </c>
      <c r="M128" s="142">
        <v>0.1</v>
      </c>
      <c r="N128" s="142">
        <v>0.1</v>
      </c>
      <c r="O128" s="142">
        <v>0.1</v>
      </c>
    </row>
    <row r="129" spans="1:15" x14ac:dyDescent="0.25">
      <c r="H129" s="72" t="s">
        <v>143</v>
      </c>
      <c r="I129" s="142">
        <v>0.1</v>
      </c>
      <c r="J129" s="142">
        <v>0.1</v>
      </c>
      <c r="K129" s="142">
        <v>0.1</v>
      </c>
      <c r="L129" s="142">
        <v>0.1</v>
      </c>
      <c r="M129" s="142">
        <v>0.1</v>
      </c>
      <c r="N129" s="142">
        <v>0.1</v>
      </c>
      <c r="O129" s="142">
        <v>0.1</v>
      </c>
    </row>
    <row r="130" spans="1:15" x14ac:dyDescent="0.25">
      <c r="H130" s="72" t="s">
        <v>144</v>
      </c>
      <c r="I130" s="142">
        <v>0.1</v>
      </c>
      <c r="J130" s="142">
        <v>0.1</v>
      </c>
      <c r="K130" s="142">
        <v>0.1</v>
      </c>
      <c r="L130" s="142">
        <v>0.1</v>
      </c>
      <c r="M130" s="142">
        <v>0.1</v>
      </c>
      <c r="N130" s="142">
        <v>0.1</v>
      </c>
      <c r="O130" s="142">
        <v>0.1</v>
      </c>
    </row>
    <row r="132" spans="1:15" x14ac:dyDescent="0.25">
      <c r="B132" t="s">
        <v>434</v>
      </c>
      <c r="C132" s="141">
        <f>+'Op Model'!C65</f>
        <v>0.13725490196078433</v>
      </c>
      <c r="D132" s="141">
        <f>+'Op Model'!D65</f>
        <v>0.15</v>
      </c>
      <c r="E132" s="141">
        <f>+'Op Model'!E65</f>
        <v>0.59859154929577463</v>
      </c>
      <c r="F132" s="141">
        <f>+'Op Model'!F65</f>
        <v>0.23012068110431474</v>
      </c>
      <c r="G132" s="141">
        <f>+'Op Model'!G65</f>
        <v>0.22719494537317361</v>
      </c>
      <c r="H132" s="141">
        <f>+'Op Model'!H65</f>
        <v>0.24015572858731926</v>
      </c>
      <c r="I132" s="143">
        <f ca="1">+OFFSET(I132,$Q$2,0)</f>
        <v>0.18</v>
      </c>
      <c r="J132" s="143">
        <f t="shared" ref="J132:O132" ca="1" si="27">+OFFSET(J132,$Q$2,0)</f>
        <v>0.18</v>
      </c>
      <c r="K132" s="143">
        <f t="shared" ca="1" si="27"/>
        <v>0.18</v>
      </c>
      <c r="L132" s="143">
        <f t="shared" ca="1" si="27"/>
        <v>0.18</v>
      </c>
      <c r="M132" s="143">
        <f t="shared" ca="1" si="27"/>
        <v>0.18</v>
      </c>
      <c r="N132" s="143">
        <f t="shared" ca="1" si="27"/>
        <v>0.18</v>
      </c>
      <c r="O132" s="143">
        <f t="shared" ca="1" si="27"/>
        <v>0.18</v>
      </c>
    </row>
    <row r="133" spans="1:15" x14ac:dyDescent="0.25">
      <c r="H133" s="72" t="s">
        <v>145</v>
      </c>
      <c r="I133" s="142">
        <v>0.18</v>
      </c>
      <c r="J133" s="142">
        <v>0.18</v>
      </c>
      <c r="K133" s="142">
        <v>0.18</v>
      </c>
      <c r="L133" s="142">
        <v>0.18</v>
      </c>
      <c r="M133" s="142">
        <v>0.18</v>
      </c>
      <c r="N133" s="142">
        <v>0.18</v>
      </c>
      <c r="O133" s="142">
        <v>0.18</v>
      </c>
    </row>
    <row r="134" spans="1:15" x14ac:dyDescent="0.25">
      <c r="H134" s="72" t="s">
        <v>143</v>
      </c>
      <c r="I134" s="142">
        <v>0.18</v>
      </c>
      <c r="J134" s="142">
        <v>0.18</v>
      </c>
      <c r="K134" s="142">
        <v>0.18</v>
      </c>
      <c r="L134" s="142">
        <v>0.18</v>
      </c>
      <c r="M134" s="142">
        <v>0.18</v>
      </c>
      <c r="N134" s="142">
        <v>0.18</v>
      </c>
      <c r="O134" s="142">
        <v>0.18</v>
      </c>
    </row>
    <row r="135" spans="1:15" x14ac:dyDescent="0.25">
      <c r="H135" s="72" t="s">
        <v>144</v>
      </c>
      <c r="I135" s="142">
        <v>0.18</v>
      </c>
      <c r="J135" s="142">
        <v>0.18</v>
      </c>
      <c r="K135" s="142">
        <v>0.18</v>
      </c>
      <c r="L135" s="142">
        <v>0.18</v>
      </c>
      <c r="M135" s="142">
        <v>0.18</v>
      </c>
      <c r="N135" s="142">
        <v>0.18</v>
      </c>
      <c r="O135" s="142">
        <v>0.18</v>
      </c>
    </row>
    <row r="137" spans="1:15" x14ac:dyDescent="0.25">
      <c r="B137" t="s">
        <v>435</v>
      </c>
      <c r="C137" s="145">
        <f>+'Op Model'!C66</f>
        <v>1.3129102844638949E-2</v>
      </c>
      <c r="D137" s="145">
        <f>+'Op Model'!D66</f>
        <v>6.2761506276150627E-3</v>
      </c>
      <c r="E137" s="145">
        <f>+'Op Model'!E66</f>
        <v>0</v>
      </c>
      <c r="F137" s="145">
        <f>+'Op Model'!F66</f>
        <v>1.4462013112225221E-2</v>
      </c>
      <c r="G137" s="145">
        <f>+'Op Model'!G66</f>
        <v>0.13146185583690642</v>
      </c>
      <c r="H137" s="145">
        <f>+'Op Model'!H66</f>
        <v>1.6487703498441288E-2</v>
      </c>
      <c r="I137" s="143">
        <f ca="1">+OFFSET(I137,$Q$2,0)</f>
        <v>0.01</v>
      </c>
      <c r="J137" s="143">
        <f t="shared" ref="J137:O137" ca="1" si="28">+OFFSET(J137,$Q$2,0)</f>
        <v>0.01</v>
      </c>
      <c r="K137" s="143">
        <f t="shared" ca="1" si="28"/>
        <v>0.01</v>
      </c>
      <c r="L137" s="143">
        <f t="shared" ca="1" si="28"/>
        <v>0.01</v>
      </c>
      <c r="M137" s="143">
        <f t="shared" ca="1" si="28"/>
        <v>0.01</v>
      </c>
      <c r="N137" s="143">
        <f t="shared" ca="1" si="28"/>
        <v>0.01</v>
      </c>
      <c r="O137" s="143">
        <f t="shared" ca="1" si="28"/>
        <v>0.01</v>
      </c>
    </row>
    <row r="138" spans="1:15" x14ac:dyDescent="0.25">
      <c r="H138" s="72" t="s">
        <v>145</v>
      </c>
      <c r="I138" s="142">
        <v>0.01</v>
      </c>
      <c r="J138" s="142">
        <v>0.01</v>
      </c>
      <c r="K138" s="142">
        <v>0.01</v>
      </c>
      <c r="L138" s="142">
        <v>0.01</v>
      </c>
      <c r="M138" s="142">
        <v>0.01</v>
      </c>
      <c r="N138" s="142">
        <v>0.01</v>
      </c>
      <c r="O138" s="142">
        <v>0.01</v>
      </c>
    </row>
    <row r="139" spans="1:15" x14ac:dyDescent="0.25">
      <c r="H139" s="72" t="s">
        <v>143</v>
      </c>
      <c r="I139" s="142">
        <v>0.01</v>
      </c>
      <c r="J139" s="142">
        <v>0.01</v>
      </c>
      <c r="K139" s="142">
        <v>0.01</v>
      </c>
      <c r="L139" s="142">
        <v>0.01</v>
      </c>
      <c r="M139" s="142">
        <v>0.01</v>
      </c>
      <c r="N139" s="142">
        <v>0.01</v>
      </c>
      <c r="O139" s="142">
        <v>0.01</v>
      </c>
    </row>
    <row r="140" spans="1:15" x14ac:dyDescent="0.25">
      <c r="H140" s="72" t="s">
        <v>144</v>
      </c>
      <c r="I140" s="142">
        <v>0.01</v>
      </c>
      <c r="J140" s="142">
        <v>0.01</v>
      </c>
      <c r="K140" s="142">
        <v>0.01</v>
      </c>
      <c r="L140" s="142">
        <v>0.01</v>
      </c>
      <c r="M140" s="142">
        <v>0.01</v>
      </c>
      <c r="N140" s="142">
        <v>0.01</v>
      </c>
      <c r="O140" s="142">
        <v>0.01</v>
      </c>
    </row>
    <row r="142" spans="1:15" x14ac:dyDescent="0.25">
      <c r="A142" t="s">
        <v>108</v>
      </c>
      <c r="B142" s="5" t="s">
        <v>333</v>
      </c>
    </row>
    <row r="143" spans="1:15" ht="2.1" customHeigh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</row>
    <row r="144" spans="1:15" x14ac:dyDescent="0.25">
      <c r="B144" t="s">
        <v>222</v>
      </c>
    </row>
    <row r="145" spans="2:5" x14ac:dyDescent="0.25">
      <c r="C145" s="141"/>
      <c r="D145" s="163">
        <f ca="1">+OFFSET(D145,$Q$2,0)</f>
        <v>12</v>
      </c>
    </row>
    <row r="146" spans="2:5" x14ac:dyDescent="0.25">
      <c r="C146" s="72" t="s">
        <v>145</v>
      </c>
      <c r="D146" s="257">
        <v>10</v>
      </c>
      <c r="E146" t="s">
        <v>445</v>
      </c>
    </row>
    <row r="147" spans="2:5" x14ac:dyDescent="0.25">
      <c r="C147" s="72" t="s">
        <v>143</v>
      </c>
      <c r="D147" s="257">
        <v>12</v>
      </c>
      <c r="E147" t="s">
        <v>446</v>
      </c>
    </row>
    <row r="148" spans="2:5" x14ac:dyDescent="0.25">
      <c r="C148" s="72" t="s">
        <v>144</v>
      </c>
      <c r="D148" s="257">
        <v>14</v>
      </c>
      <c r="E148" t="s">
        <v>444</v>
      </c>
    </row>
    <row r="150" spans="2:5" x14ac:dyDescent="0.25">
      <c r="B150" t="s">
        <v>290</v>
      </c>
      <c r="C150" s="141"/>
      <c r="D150" s="194">
        <f ca="1">+OFFSET(D150,$Q$2,0)</f>
        <v>0.04</v>
      </c>
    </row>
    <row r="151" spans="2:5" x14ac:dyDescent="0.25">
      <c r="C151" s="72" t="s">
        <v>145</v>
      </c>
      <c r="D151" s="247">
        <v>3.5000000000000003E-2</v>
      </c>
      <c r="E151" t="s">
        <v>445</v>
      </c>
    </row>
    <row r="152" spans="2:5" x14ac:dyDescent="0.25">
      <c r="C152" s="72" t="s">
        <v>143</v>
      </c>
      <c r="D152" s="247">
        <v>0.04</v>
      </c>
      <c r="E152" t="s">
        <v>446</v>
      </c>
    </row>
    <row r="153" spans="2:5" x14ac:dyDescent="0.25">
      <c r="C153" s="72" t="s">
        <v>144</v>
      </c>
      <c r="D153" s="247">
        <v>4.4999999999999998E-2</v>
      </c>
      <c r="E153" t="s">
        <v>444</v>
      </c>
    </row>
    <row r="154" spans="2:5" x14ac:dyDescent="0.25">
      <c r="D154" s="403"/>
    </row>
  </sheetData>
  <mergeCells count="1">
    <mergeCell ref="M2:N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83F25-9509-4669-977A-63BF0A8656FC}">
  <dimension ref="A1:S80"/>
  <sheetViews>
    <sheetView showGridLines="0" workbookViewId="0">
      <selection activeCell="D4" sqref="D4"/>
    </sheetView>
  </sheetViews>
  <sheetFormatPr defaultColWidth="8.85546875" defaultRowHeight="15" x14ac:dyDescent="0.25"/>
  <cols>
    <col min="1" max="1" width="2.5703125" customWidth="1"/>
    <col min="2" max="2" width="35.7109375" customWidth="1"/>
    <col min="3" max="4" width="4.5703125" customWidth="1"/>
    <col min="5" max="5" width="5.5703125" bestFit="1" customWidth="1"/>
    <col min="6" max="6" width="4.5703125" customWidth="1"/>
    <col min="7" max="14" width="10.140625" bestFit="1" customWidth="1"/>
    <col min="15" max="15" width="2.7109375" customWidth="1"/>
    <col min="16" max="16" width="14.140625" bestFit="1" customWidth="1"/>
    <col min="18" max="18" width="15" bestFit="1" customWidth="1"/>
    <col min="20" max="20" width="31.42578125" customWidth="1"/>
  </cols>
  <sheetData>
    <row r="1" spans="1:19" ht="2.1" customHeight="1" x14ac:dyDescent="0.25"/>
    <row r="2" spans="1:19" ht="14.45" customHeight="1" x14ac:dyDescent="0.25">
      <c r="A2" t="s">
        <v>108</v>
      </c>
      <c r="B2" s="221" t="s">
        <v>299</v>
      </c>
      <c r="C2" s="219"/>
      <c r="D2" s="219"/>
      <c r="E2" s="219"/>
      <c r="F2" s="219"/>
      <c r="G2" s="220"/>
      <c r="H2" s="220"/>
      <c r="I2" s="220"/>
      <c r="J2" s="220"/>
      <c r="K2" s="220"/>
      <c r="L2" s="220"/>
      <c r="M2" s="220"/>
      <c r="N2" s="220"/>
      <c r="O2" s="220"/>
    </row>
    <row r="3" spans="1:19" x14ac:dyDescent="0.25">
      <c r="B3" s="3"/>
      <c r="C3" s="3"/>
      <c r="D3" s="3"/>
      <c r="E3" s="3"/>
      <c r="F3" s="3"/>
      <c r="G3" s="6">
        <v>2022</v>
      </c>
      <c r="H3" s="6">
        <f t="shared" ref="H3:N3" si="0">+G3+1</f>
        <v>2023</v>
      </c>
      <c r="I3" s="6">
        <f t="shared" si="0"/>
        <v>2024</v>
      </c>
      <c r="J3" s="6">
        <f t="shared" si="0"/>
        <v>2025</v>
      </c>
      <c r="K3" s="6">
        <f t="shared" si="0"/>
        <v>2026</v>
      </c>
      <c r="L3" s="6">
        <f t="shared" si="0"/>
        <v>2027</v>
      </c>
      <c r="M3" s="6">
        <f t="shared" si="0"/>
        <v>2028</v>
      </c>
      <c r="N3" s="6">
        <f t="shared" si="0"/>
        <v>2029</v>
      </c>
      <c r="O3" s="309"/>
    </row>
    <row r="4" spans="1:19" ht="2.1" customHeight="1" x14ac:dyDescent="0.25"/>
    <row r="5" spans="1:19" x14ac:dyDescent="0.25">
      <c r="B5" t="s">
        <v>133</v>
      </c>
      <c r="G5" s="33">
        <f>+'Revenue Build'!F25</f>
        <v>1236.0999999999999</v>
      </c>
      <c r="H5" s="33">
        <f>+'Revenue Build'!G25</f>
        <v>1443.5</v>
      </c>
      <c r="I5" s="33">
        <f ca="1">+'Revenue Build'!H25</f>
        <v>1703.6443801926569</v>
      </c>
      <c r="J5" s="33">
        <f ca="1">+'Revenue Build'!I25</f>
        <v>1983.8996080608158</v>
      </c>
      <c r="K5" s="33">
        <f ca="1">+'Revenue Build'!J25</f>
        <v>2299.6531417892165</v>
      </c>
      <c r="L5" s="33">
        <f ca="1">+'Revenue Build'!K25</f>
        <v>2660.0794997760972</v>
      </c>
      <c r="M5" s="33">
        <f ca="1">+'Revenue Build'!L25</f>
        <v>3027.5990311956452</v>
      </c>
      <c r="N5" s="33">
        <f ca="1">+'Revenue Build'!M25</f>
        <v>3408.1798338278568</v>
      </c>
      <c r="O5" s="33"/>
      <c r="P5" t="s">
        <v>136</v>
      </c>
    </row>
    <row r="6" spans="1:19" x14ac:dyDescent="0.25">
      <c r="A6" t="s">
        <v>89</v>
      </c>
      <c r="B6" s="20" t="s">
        <v>118</v>
      </c>
      <c r="C6" s="20"/>
      <c r="D6" s="20"/>
      <c r="E6" s="20"/>
      <c r="F6" s="20"/>
      <c r="G6" s="218">
        <f>SUM(G5:G5)</f>
        <v>1236.0999999999999</v>
      </c>
      <c r="H6" s="218">
        <f t="shared" ref="H6:N6" si="1">SUM(H5:H5)</f>
        <v>1443.5</v>
      </c>
      <c r="I6" s="218">
        <f t="shared" ca="1" si="1"/>
        <v>1703.6443801926569</v>
      </c>
      <c r="J6" s="218">
        <f t="shared" ca="1" si="1"/>
        <v>1983.8996080608158</v>
      </c>
      <c r="K6" s="218">
        <f t="shared" ca="1" si="1"/>
        <v>2299.6531417892165</v>
      </c>
      <c r="L6" s="218">
        <f t="shared" ca="1" si="1"/>
        <v>2660.0794997760972</v>
      </c>
      <c r="M6" s="218">
        <f t="shared" ca="1" si="1"/>
        <v>3027.5990311956452</v>
      </c>
      <c r="N6" s="218">
        <f t="shared" ca="1" si="1"/>
        <v>3408.1798338278568</v>
      </c>
      <c r="O6" s="310"/>
    </row>
    <row r="7" spans="1:19" ht="2.1" customHeight="1" x14ac:dyDescent="0.25">
      <c r="B7" s="129"/>
      <c r="C7" s="129"/>
      <c r="D7" s="129"/>
      <c r="E7" s="129"/>
      <c r="F7" s="129"/>
      <c r="G7" s="130"/>
      <c r="H7" s="130"/>
      <c r="I7" s="131"/>
      <c r="J7" s="131"/>
      <c r="K7" s="131"/>
      <c r="L7" s="131"/>
      <c r="M7" s="131"/>
      <c r="N7" s="131"/>
      <c r="O7" s="131"/>
      <c r="P7" s="132"/>
      <c r="Q7" s="132"/>
      <c r="R7" s="132"/>
      <c r="S7" s="132"/>
    </row>
    <row r="8" spans="1:19" ht="14.1" customHeight="1" x14ac:dyDescent="0.25">
      <c r="B8" s="22" t="s">
        <v>186</v>
      </c>
      <c r="C8" s="22"/>
      <c r="D8" s="22"/>
      <c r="E8" s="22"/>
      <c r="F8" s="22"/>
      <c r="G8" s="73">
        <f>'Income Statement'!G9</f>
        <v>759.7</v>
      </c>
      <c r="H8" s="73">
        <f>'Income Statement'!H9</f>
        <v>899</v>
      </c>
      <c r="I8" s="215">
        <f t="shared" ref="I8:N8" ca="1" si="2">I50*I5</f>
        <v>1056.2595157194473</v>
      </c>
      <c r="J8" s="215">
        <f t="shared" ca="1" si="2"/>
        <v>1230.0177569977059</v>
      </c>
      <c r="K8" s="215">
        <f t="shared" ca="1" si="2"/>
        <v>1425.7849479093143</v>
      </c>
      <c r="L8" s="215">
        <f t="shared" ca="1" si="2"/>
        <v>1649.2492898611804</v>
      </c>
      <c r="M8" s="215">
        <f t="shared" ca="1" si="2"/>
        <v>1877.1113993413001</v>
      </c>
      <c r="N8" s="215">
        <f t="shared" ca="1" si="2"/>
        <v>2113.0714969732712</v>
      </c>
      <c r="O8" s="215"/>
      <c r="P8" t="s">
        <v>363</v>
      </c>
    </row>
    <row r="9" spans="1:19" x14ac:dyDescent="0.25">
      <c r="A9" t="s">
        <v>89</v>
      </c>
      <c r="B9" s="5" t="s">
        <v>193</v>
      </c>
      <c r="C9" s="5"/>
      <c r="D9" s="5"/>
      <c r="E9" s="5"/>
      <c r="F9" s="5"/>
      <c r="G9" s="216">
        <f>SUM(G8:G8)</f>
        <v>759.7</v>
      </c>
      <c r="H9" s="216">
        <f t="shared" ref="H9:N9" si="3">SUM(H8:H8)</f>
        <v>899</v>
      </c>
      <c r="I9" s="216">
        <f t="shared" ca="1" si="3"/>
        <v>1056.2595157194473</v>
      </c>
      <c r="J9" s="216">
        <f t="shared" ca="1" si="3"/>
        <v>1230.0177569977059</v>
      </c>
      <c r="K9" s="216">
        <f t="shared" ca="1" si="3"/>
        <v>1425.7849479093143</v>
      </c>
      <c r="L9" s="216">
        <f t="shared" ca="1" si="3"/>
        <v>1649.2492898611804</v>
      </c>
      <c r="M9" s="216">
        <f t="shared" ca="1" si="3"/>
        <v>1877.1113993413001</v>
      </c>
      <c r="N9" s="216">
        <f t="shared" ca="1" si="3"/>
        <v>2113.0714969732712</v>
      </c>
      <c r="O9" s="216"/>
    </row>
    <row r="10" spans="1:19" ht="2.1" customHeight="1" x14ac:dyDescent="0.25"/>
    <row r="11" spans="1:19" x14ac:dyDescent="0.25">
      <c r="A11" t="s">
        <v>89</v>
      </c>
      <c r="B11" s="5" t="s">
        <v>194</v>
      </c>
      <c r="C11" s="5"/>
      <c r="D11" s="5"/>
      <c r="E11" s="5"/>
      <c r="F11" s="5"/>
      <c r="G11" s="216">
        <f>G6-G9</f>
        <v>476.39999999999986</v>
      </c>
      <c r="H11" s="216">
        <f t="shared" ref="H11:N11" si="4">H6-H9</f>
        <v>544.5</v>
      </c>
      <c r="I11" s="216">
        <f t="shared" ca="1" si="4"/>
        <v>647.38486447320952</v>
      </c>
      <c r="J11" s="216">
        <f t="shared" ca="1" si="4"/>
        <v>753.88185106310993</v>
      </c>
      <c r="K11" s="216">
        <f t="shared" ca="1" si="4"/>
        <v>873.86819387990226</v>
      </c>
      <c r="L11" s="216">
        <f t="shared" ca="1" si="4"/>
        <v>1010.8302099149168</v>
      </c>
      <c r="M11" s="216">
        <f t="shared" ca="1" si="4"/>
        <v>1150.4876318543452</v>
      </c>
      <c r="N11" s="216">
        <f t="shared" ca="1" si="4"/>
        <v>1295.1083368545856</v>
      </c>
      <c r="O11" s="216"/>
    </row>
    <row r="12" spans="1:19" x14ac:dyDescent="0.25">
      <c r="B12" s="135" t="s">
        <v>204</v>
      </c>
      <c r="C12" s="5"/>
      <c r="D12" s="5"/>
      <c r="E12" s="5"/>
      <c r="F12" s="5"/>
      <c r="G12" s="147">
        <f>+G11/G6</f>
        <v>0.38540571151201353</v>
      </c>
      <c r="H12" s="147">
        <f t="shared" ref="H12:N12" si="5">+H11/H6</f>
        <v>0.37720817457568412</v>
      </c>
      <c r="I12" s="147">
        <f t="shared" ca="1" si="5"/>
        <v>0.37999999999999995</v>
      </c>
      <c r="J12" s="147">
        <f t="shared" ca="1" si="5"/>
        <v>0.37999999999999995</v>
      </c>
      <c r="K12" s="147">
        <f t="shared" ca="1" si="5"/>
        <v>0.38</v>
      </c>
      <c r="L12" s="147">
        <f t="shared" ca="1" si="5"/>
        <v>0.37999999999999995</v>
      </c>
      <c r="M12" s="147">
        <f t="shared" ca="1" si="5"/>
        <v>0.38</v>
      </c>
      <c r="N12" s="147">
        <f t="shared" ca="1" si="5"/>
        <v>0.38</v>
      </c>
      <c r="O12" s="147"/>
    </row>
    <row r="13" spans="1:19" ht="2.1" customHeight="1" x14ac:dyDescent="0.25">
      <c r="B13" s="133"/>
      <c r="C13" s="133"/>
      <c r="D13" s="133"/>
      <c r="E13" s="133"/>
      <c r="F13" s="133"/>
      <c r="G13" s="134"/>
      <c r="H13" s="134"/>
      <c r="I13" s="134"/>
      <c r="J13" s="134"/>
      <c r="K13" s="134"/>
      <c r="L13" s="134"/>
      <c r="M13" s="134"/>
      <c r="N13" s="134"/>
      <c r="O13" s="134"/>
    </row>
    <row r="14" spans="1:19" ht="17.100000000000001" customHeight="1" x14ac:dyDescent="0.25">
      <c r="B14" t="s">
        <v>195</v>
      </c>
      <c r="G14" s="73">
        <f>'Income Statement'!G12</f>
        <v>251.6</v>
      </c>
      <c r="H14" s="73">
        <f>'Income Statement'!H12</f>
        <v>236.9</v>
      </c>
      <c r="I14" s="215">
        <f t="shared" ref="I14:N14" ca="1" si="6">I51*I5</f>
        <v>289.61954463275168</v>
      </c>
      <c r="J14" s="215">
        <f t="shared" ca="1" si="6"/>
        <v>337.26293337033871</v>
      </c>
      <c r="K14" s="215">
        <f t="shared" ca="1" si="6"/>
        <v>390.94103410416682</v>
      </c>
      <c r="L14" s="215">
        <f t="shared" ca="1" si="6"/>
        <v>452.21351496193654</v>
      </c>
      <c r="M14" s="215">
        <f t="shared" ca="1" si="6"/>
        <v>514.69183530325972</v>
      </c>
      <c r="N14" s="215">
        <f t="shared" ca="1" si="6"/>
        <v>579.39057175073572</v>
      </c>
      <c r="O14" s="215"/>
      <c r="P14" t="s">
        <v>363</v>
      </c>
    </row>
    <row r="15" spans="1:19" ht="17.100000000000001" customHeight="1" x14ac:dyDescent="0.25">
      <c r="B15" t="s">
        <v>469</v>
      </c>
      <c r="G15" s="73">
        <f>+'Income Statement'!G15</f>
        <v>11.4</v>
      </c>
      <c r="H15" s="73">
        <f>+'Income Statement'!H15</f>
        <v>32.799999999999997</v>
      </c>
      <c r="I15" s="215">
        <f ca="1">+I6*I52</f>
        <v>8.5182219009632849</v>
      </c>
      <c r="J15" s="215">
        <f t="shared" ref="J15:N15" ca="1" si="7">+J6*J52</f>
        <v>9.9194980403040791</v>
      </c>
      <c r="K15" s="215">
        <f t="shared" ca="1" si="7"/>
        <v>11.498265708946082</v>
      </c>
      <c r="L15" s="215">
        <f t="shared" ca="1" si="7"/>
        <v>13.300397498880486</v>
      </c>
      <c r="M15" s="215">
        <f t="shared" ca="1" si="7"/>
        <v>15.137995155978226</v>
      </c>
      <c r="N15" s="215">
        <f t="shared" ca="1" si="7"/>
        <v>17.040899169139283</v>
      </c>
      <c r="O15" s="215"/>
      <c r="P15" t="s">
        <v>363</v>
      </c>
    </row>
    <row r="16" spans="1:19" x14ac:dyDescent="0.25">
      <c r="A16" t="s">
        <v>89</v>
      </c>
      <c r="B16" s="20" t="s">
        <v>196</v>
      </c>
      <c r="C16" s="20"/>
      <c r="D16" s="20"/>
      <c r="E16" s="20"/>
      <c r="F16" s="20"/>
      <c r="G16" s="187">
        <f>SUM(G14:G15)</f>
        <v>263</v>
      </c>
      <c r="H16" s="187">
        <f t="shared" ref="H16:N16" si="8">SUM(H14:H15)</f>
        <v>269.7</v>
      </c>
      <c r="I16" s="187">
        <f t="shared" ca="1" si="8"/>
        <v>298.13776653371497</v>
      </c>
      <c r="J16" s="187">
        <f t="shared" ca="1" si="8"/>
        <v>347.18243141064278</v>
      </c>
      <c r="K16" s="187">
        <f t="shared" ca="1" si="8"/>
        <v>402.43929981311288</v>
      </c>
      <c r="L16" s="187">
        <f t="shared" ca="1" si="8"/>
        <v>465.51391246081704</v>
      </c>
      <c r="M16" s="187">
        <f t="shared" ca="1" si="8"/>
        <v>529.829830459238</v>
      </c>
      <c r="N16" s="187">
        <f t="shared" ca="1" si="8"/>
        <v>596.43147091987498</v>
      </c>
      <c r="O16" s="311"/>
    </row>
    <row r="17" spans="1:16" ht="2.1" customHeight="1" x14ac:dyDescent="0.25"/>
    <row r="18" spans="1:16" x14ac:dyDescent="0.25">
      <c r="A18" t="s">
        <v>89</v>
      </c>
      <c r="B18" s="5" t="s">
        <v>137</v>
      </c>
      <c r="C18" s="5"/>
      <c r="D18" s="5"/>
      <c r="E18" s="5"/>
      <c r="F18" s="5"/>
      <c r="G18" s="63">
        <f t="shared" ref="G18:N18" si="9">+G11-G16</f>
        <v>213.39999999999986</v>
      </c>
      <c r="H18" s="63">
        <f t="shared" si="9"/>
        <v>274.8</v>
      </c>
      <c r="I18" s="63">
        <f t="shared" ca="1" si="9"/>
        <v>349.24709793949455</v>
      </c>
      <c r="J18" s="63">
        <f t="shared" ca="1" si="9"/>
        <v>406.69941965246716</v>
      </c>
      <c r="K18" s="63">
        <f t="shared" ca="1" si="9"/>
        <v>471.42889406678938</v>
      </c>
      <c r="L18" s="63">
        <f t="shared" ca="1" si="9"/>
        <v>545.31629745409987</v>
      </c>
      <c r="M18" s="63">
        <f t="shared" ca="1" si="9"/>
        <v>620.65780139510719</v>
      </c>
      <c r="N18" s="63">
        <f t="shared" ca="1" si="9"/>
        <v>698.67686593471058</v>
      </c>
      <c r="O18" s="63"/>
    </row>
    <row r="19" spans="1:16" x14ac:dyDescent="0.25">
      <c r="B19" t="s">
        <v>205</v>
      </c>
      <c r="C19" s="5"/>
      <c r="D19" s="5"/>
      <c r="E19" s="5"/>
      <c r="F19" s="5"/>
      <c r="G19" s="147">
        <f t="shared" ref="G19:N19" si="10">+G18/G5</f>
        <v>0.17263975406520499</v>
      </c>
      <c r="H19" s="147">
        <f t="shared" si="10"/>
        <v>0.19037062694838933</v>
      </c>
      <c r="I19" s="147">
        <f t="shared" ca="1" si="10"/>
        <v>0.20499999999999993</v>
      </c>
      <c r="J19" s="147">
        <f t="shared" ca="1" si="10"/>
        <v>0.20499999999999996</v>
      </c>
      <c r="K19" s="147">
        <f t="shared" ca="1" si="10"/>
        <v>0.20499999999999999</v>
      </c>
      <c r="L19" s="147">
        <f t="shared" ca="1" si="10"/>
        <v>0.20499999999999999</v>
      </c>
      <c r="M19" s="147">
        <f t="shared" ca="1" si="10"/>
        <v>0.20499999999999996</v>
      </c>
      <c r="N19" s="147">
        <f t="shared" ca="1" si="10"/>
        <v>0.20499999999999999</v>
      </c>
      <c r="O19" s="147"/>
    </row>
    <row r="20" spans="1:16" ht="2.1" customHeight="1" x14ac:dyDescent="0.25">
      <c r="B20" s="124"/>
      <c r="C20" s="124"/>
      <c r="D20" s="124"/>
      <c r="E20" s="124"/>
      <c r="F20" s="124"/>
      <c r="G20" s="123"/>
      <c r="H20" s="123"/>
      <c r="I20" s="123"/>
      <c r="J20" s="123"/>
      <c r="K20" s="123"/>
      <c r="L20" s="123"/>
      <c r="M20" s="123"/>
      <c r="N20" s="123"/>
      <c r="O20" s="123"/>
    </row>
    <row r="21" spans="1:16" ht="15" customHeight="1" x14ac:dyDescent="0.25">
      <c r="B21" t="s">
        <v>32</v>
      </c>
      <c r="G21" s="73">
        <f>'Income Statement'!G34</f>
        <v>34.700000000000003</v>
      </c>
      <c r="H21" s="73">
        <f>'Income Statement'!H34</f>
        <v>37.1</v>
      </c>
      <c r="I21" s="215">
        <f t="shared" ref="I21:N21" ca="1" si="11">I53*I5</f>
        <v>51.109331405779706</v>
      </c>
      <c r="J21" s="215">
        <f t="shared" ca="1" si="11"/>
        <v>59.516988241824471</v>
      </c>
      <c r="K21" s="215">
        <f t="shared" ca="1" si="11"/>
        <v>68.989594253676501</v>
      </c>
      <c r="L21" s="215">
        <f t="shared" ca="1" si="11"/>
        <v>79.802384993282914</v>
      </c>
      <c r="M21" s="215">
        <f t="shared" ca="1" si="11"/>
        <v>90.827970935869359</v>
      </c>
      <c r="N21" s="215">
        <f t="shared" ca="1" si="11"/>
        <v>102.24539501483569</v>
      </c>
      <c r="O21" s="215"/>
      <c r="P21" t="s">
        <v>363</v>
      </c>
    </row>
    <row r="22" spans="1:16" x14ac:dyDescent="0.25">
      <c r="A22" t="s">
        <v>89</v>
      </c>
      <c r="B22" s="5" t="s">
        <v>197</v>
      </c>
      <c r="C22" s="5"/>
      <c r="D22" s="5"/>
      <c r="E22" s="5"/>
      <c r="F22" s="5"/>
      <c r="G22" s="63">
        <f>G18-G21</f>
        <v>178.69999999999987</v>
      </c>
      <c r="H22" s="63">
        <f t="shared" ref="H22:N22" si="12">H18-H21</f>
        <v>237.70000000000002</v>
      </c>
      <c r="I22" s="63">
        <f t="shared" ca="1" si="12"/>
        <v>298.13776653371485</v>
      </c>
      <c r="J22" s="63">
        <f t="shared" ca="1" si="12"/>
        <v>347.18243141064266</v>
      </c>
      <c r="K22" s="63">
        <f t="shared" ca="1" si="12"/>
        <v>402.43929981311288</v>
      </c>
      <c r="L22" s="63">
        <f t="shared" ca="1" si="12"/>
        <v>465.51391246081698</v>
      </c>
      <c r="M22" s="63">
        <f t="shared" ca="1" si="12"/>
        <v>529.82983045923788</v>
      </c>
      <c r="N22" s="63">
        <f t="shared" ca="1" si="12"/>
        <v>596.43147091987487</v>
      </c>
      <c r="O22" s="63"/>
    </row>
    <row r="23" spans="1:16" ht="2.1" customHeight="1" x14ac:dyDescent="0.25">
      <c r="B23" s="7"/>
      <c r="C23" s="7"/>
      <c r="D23" s="7"/>
      <c r="E23" s="7"/>
      <c r="F23" s="7"/>
      <c r="G23" s="123"/>
      <c r="H23" s="123"/>
      <c r="I23" s="126"/>
      <c r="J23" s="126"/>
      <c r="K23" s="126"/>
      <c r="L23" s="126"/>
      <c r="M23" s="126"/>
      <c r="N23" s="126"/>
      <c r="O23" s="126"/>
    </row>
    <row r="24" spans="1:16" x14ac:dyDescent="0.25">
      <c r="A24" t="s">
        <v>89</v>
      </c>
      <c r="B24" s="5" t="s">
        <v>121</v>
      </c>
      <c r="C24" s="5"/>
      <c r="D24" s="5"/>
      <c r="E24" s="5"/>
      <c r="F24" s="5"/>
      <c r="G24" s="63">
        <f>+G18</f>
        <v>213.39999999999986</v>
      </c>
      <c r="H24" s="63">
        <f t="shared" ref="H24:N24" si="13">+H18</f>
        <v>274.8</v>
      </c>
      <c r="I24" s="63">
        <f t="shared" ca="1" si="13"/>
        <v>349.24709793949455</v>
      </c>
      <c r="J24" s="63">
        <f t="shared" ca="1" si="13"/>
        <v>406.69941965246716</v>
      </c>
      <c r="K24" s="63">
        <f t="shared" ca="1" si="13"/>
        <v>471.42889406678938</v>
      </c>
      <c r="L24" s="63">
        <f t="shared" ca="1" si="13"/>
        <v>545.31629745409987</v>
      </c>
      <c r="M24" s="63">
        <f t="shared" ca="1" si="13"/>
        <v>620.65780139510719</v>
      </c>
      <c r="N24" s="63">
        <f t="shared" ca="1" si="13"/>
        <v>698.67686593471058</v>
      </c>
      <c r="O24" s="63"/>
      <c r="P24" s="18"/>
    </row>
    <row r="25" spans="1:16" ht="2.1" customHeight="1" x14ac:dyDescent="0.25">
      <c r="G25" s="127"/>
      <c r="H25" s="127"/>
      <c r="I25" s="121"/>
      <c r="J25" s="121"/>
      <c r="K25" s="121"/>
      <c r="L25" s="121"/>
      <c r="M25" s="121"/>
      <c r="N25" s="121"/>
      <c r="O25" s="121"/>
    </row>
    <row r="26" spans="1:16" x14ac:dyDescent="0.25">
      <c r="B26" s="22" t="s">
        <v>198</v>
      </c>
      <c r="C26" s="22"/>
      <c r="D26" s="22"/>
      <c r="E26" s="22"/>
      <c r="F26" s="22"/>
      <c r="G26" s="73">
        <f>+'Cash Flow'!G8</f>
        <v>71.400000000000006</v>
      </c>
      <c r="H26" s="73">
        <f>+'Cash Flow'!H8</f>
        <v>88.8</v>
      </c>
      <c r="I26" s="215">
        <f t="shared" ref="I26:N26" ca="1" si="14">I55*I5</f>
        <v>102.21866281155941</v>
      </c>
      <c r="J26" s="215">
        <f t="shared" ca="1" si="14"/>
        <v>119.03397648364894</v>
      </c>
      <c r="K26" s="215">
        <f t="shared" ca="1" si="14"/>
        <v>137.979188507353</v>
      </c>
      <c r="L26" s="215">
        <f t="shared" ca="1" si="14"/>
        <v>159.60476998656583</v>
      </c>
      <c r="M26" s="215">
        <f t="shared" ca="1" si="14"/>
        <v>181.65594187173872</v>
      </c>
      <c r="N26" s="215">
        <f t="shared" ca="1" si="14"/>
        <v>204.49079002967139</v>
      </c>
      <c r="O26" s="215"/>
      <c r="P26" t="s">
        <v>364</v>
      </c>
    </row>
    <row r="27" spans="1:16" x14ac:dyDescent="0.25">
      <c r="A27" t="s">
        <v>108</v>
      </c>
      <c r="B27" s="20" t="s">
        <v>219</v>
      </c>
      <c r="C27" s="20"/>
      <c r="D27" s="20"/>
      <c r="E27" s="20"/>
      <c r="F27" s="20"/>
      <c r="G27" s="187">
        <f>+G26+G18</f>
        <v>284.79999999999984</v>
      </c>
      <c r="H27" s="187">
        <f t="shared" ref="H27:N27" si="15">+H26+H18</f>
        <v>363.6</v>
      </c>
      <c r="I27" s="187">
        <f t="shared" ca="1" si="15"/>
        <v>451.46576075105395</v>
      </c>
      <c r="J27" s="187">
        <f t="shared" ca="1" si="15"/>
        <v>525.73339613611608</v>
      </c>
      <c r="K27" s="187">
        <f t="shared" ca="1" si="15"/>
        <v>609.40808257414233</v>
      </c>
      <c r="L27" s="187">
        <f t="shared" ca="1" si="15"/>
        <v>704.92106744066564</v>
      </c>
      <c r="M27" s="187">
        <f t="shared" ca="1" si="15"/>
        <v>802.3137432668459</v>
      </c>
      <c r="N27" s="187">
        <f t="shared" ca="1" si="15"/>
        <v>903.16765596438199</v>
      </c>
      <c r="O27" s="311"/>
    </row>
    <row r="28" spans="1:16" ht="2.1" customHeight="1" x14ac:dyDescent="0.25">
      <c r="B28" s="5"/>
      <c r="C28" s="5"/>
      <c r="D28" s="5"/>
      <c r="E28" s="5"/>
      <c r="F28" s="5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1:16" x14ac:dyDescent="0.25">
      <c r="B29" t="s">
        <v>199</v>
      </c>
      <c r="G29" s="73">
        <f>-'Cash Flow'!G20</f>
        <v>132</v>
      </c>
      <c r="H29" s="73">
        <f>-'Cash Flow'!H20</f>
        <v>180.5</v>
      </c>
      <c r="I29" s="215">
        <f t="shared" ref="I29:N29" ca="1" si="16">I56*I5</f>
        <v>221.47376942504539</v>
      </c>
      <c r="J29" s="215">
        <f t="shared" ca="1" si="16"/>
        <v>257.90694904790604</v>
      </c>
      <c r="K29" s="215">
        <f t="shared" ca="1" si="16"/>
        <v>321.95143985049032</v>
      </c>
      <c r="L29" s="215">
        <f t="shared" ca="1" si="16"/>
        <v>399.0119249664146</v>
      </c>
      <c r="M29" s="215">
        <f t="shared" ca="1" si="16"/>
        <v>423.86386436739036</v>
      </c>
      <c r="N29" s="215">
        <f t="shared" ca="1" si="16"/>
        <v>443.06337839762142</v>
      </c>
      <c r="O29" s="215"/>
      <c r="P29" s="308" t="s">
        <v>364</v>
      </c>
    </row>
    <row r="30" spans="1:16" ht="2.1" customHeight="1" x14ac:dyDescent="0.25">
      <c r="B30" s="7"/>
      <c r="C30" s="7"/>
      <c r="D30" s="7"/>
      <c r="E30" s="7"/>
      <c r="F30" s="7"/>
      <c r="G30" s="23"/>
      <c r="H30" s="23"/>
      <c r="I30" s="80"/>
      <c r="J30" s="80"/>
      <c r="K30" s="80"/>
      <c r="L30" s="80"/>
      <c r="M30" s="80"/>
      <c r="N30" s="80"/>
      <c r="O30" s="80"/>
    </row>
    <row r="31" spans="1:16" ht="14.45" customHeight="1" x14ac:dyDescent="0.25">
      <c r="A31" t="s">
        <v>108</v>
      </c>
      <c r="B31" s="25" t="s">
        <v>277</v>
      </c>
      <c r="C31" s="14"/>
      <c r="D31" s="14"/>
      <c r="E31" s="14"/>
      <c r="F31" s="14"/>
      <c r="G31" s="53"/>
      <c r="H31" s="53"/>
      <c r="I31" s="105"/>
      <c r="J31" s="105"/>
      <c r="K31" s="105"/>
      <c r="L31" s="105"/>
      <c r="M31" s="105"/>
      <c r="N31" s="105"/>
      <c r="O31" s="80"/>
    </row>
    <row r="32" spans="1:16" ht="2.1" customHeight="1" x14ac:dyDescent="0.25">
      <c r="B32" s="388"/>
      <c r="C32" s="344"/>
      <c r="D32" s="344"/>
      <c r="E32" s="344"/>
      <c r="F32" s="344"/>
      <c r="G32" s="123"/>
      <c r="H32" s="123"/>
      <c r="I32" s="107"/>
      <c r="J32" s="107"/>
      <c r="K32" s="107"/>
      <c r="L32" s="107"/>
      <c r="M32" s="107"/>
      <c r="N32" s="107"/>
      <c r="O32" s="80"/>
    </row>
    <row r="33" spans="2:16" x14ac:dyDescent="0.25">
      <c r="B33" s="135" t="s">
        <v>418</v>
      </c>
      <c r="C33" s="135"/>
      <c r="D33" s="135"/>
      <c r="E33" s="135"/>
      <c r="F33" s="135"/>
      <c r="G33" s="73">
        <f>+'Balance Sheet'!G54</f>
        <v>23.4</v>
      </c>
      <c r="H33" s="73">
        <f>+'Balance Sheet'!H54</f>
        <v>409.1</v>
      </c>
      <c r="I33" s="215">
        <f t="shared" ref="I33:N34" ca="1" si="17">+I58*I$6</f>
        <v>255.54665702889852</v>
      </c>
      <c r="J33" s="215">
        <f t="shared" ca="1" si="17"/>
        <v>297.58494120912235</v>
      </c>
      <c r="K33" s="215">
        <f t="shared" ca="1" si="17"/>
        <v>344.94797126838245</v>
      </c>
      <c r="L33" s="215">
        <f t="shared" ca="1" si="17"/>
        <v>399.0119249664146</v>
      </c>
      <c r="M33" s="215">
        <f t="shared" ca="1" si="17"/>
        <v>454.1398546793468</v>
      </c>
      <c r="N33" s="215">
        <f t="shared" ca="1" si="17"/>
        <v>511.22697507417848</v>
      </c>
      <c r="O33" s="215"/>
      <c r="P33" t="s">
        <v>365</v>
      </c>
    </row>
    <row r="34" spans="2:16" x14ac:dyDescent="0.25">
      <c r="B34" s="135" t="s">
        <v>419</v>
      </c>
      <c r="C34" s="135"/>
      <c r="D34" s="135"/>
      <c r="E34" s="135"/>
      <c r="F34" s="135"/>
      <c r="G34" s="73">
        <f>+'Balance Sheet'!G55</f>
        <v>0</v>
      </c>
      <c r="H34" s="73">
        <f>+'Balance Sheet'!H55</f>
        <v>347.5</v>
      </c>
      <c r="I34" s="215">
        <f t="shared" ca="1" si="17"/>
        <v>0</v>
      </c>
      <c r="J34" s="215">
        <f t="shared" ca="1" si="17"/>
        <v>0</v>
      </c>
      <c r="K34" s="215">
        <f t="shared" ca="1" si="17"/>
        <v>0</v>
      </c>
      <c r="L34" s="215">
        <f t="shared" ca="1" si="17"/>
        <v>0</v>
      </c>
      <c r="M34" s="215">
        <f t="shared" ca="1" si="17"/>
        <v>0</v>
      </c>
      <c r="N34" s="215">
        <f t="shared" ca="1" si="17"/>
        <v>0</v>
      </c>
      <c r="O34" s="215"/>
      <c r="P34" t="s">
        <v>365</v>
      </c>
    </row>
    <row r="35" spans="2:16" x14ac:dyDescent="0.25">
      <c r="B35" s="135" t="s">
        <v>420</v>
      </c>
      <c r="C35" s="135"/>
      <c r="D35" s="135"/>
      <c r="E35" s="135"/>
      <c r="F35" s="135"/>
      <c r="G35" s="73">
        <f>+'Balance Sheet'!G56</f>
        <v>66.099999999999994</v>
      </c>
      <c r="H35" s="73">
        <f>+'Balance Sheet'!H56</f>
        <v>81.3</v>
      </c>
      <c r="I35" s="215">
        <f t="shared" ref="I35:N37" ca="1" si="18">+I60*I$8</f>
        <v>137.31373704352816</v>
      </c>
      <c r="J35" s="215">
        <f t="shared" ca="1" si="18"/>
        <v>159.90230840970176</v>
      </c>
      <c r="K35" s="215">
        <f t="shared" ca="1" si="18"/>
        <v>185.35204322821087</v>
      </c>
      <c r="L35" s="215">
        <f t="shared" ca="1" si="18"/>
        <v>214.40240768195346</v>
      </c>
      <c r="M35" s="215">
        <f t="shared" ca="1" si="18"/>
        <v>244.02448191436901</v>
      </c>
      <c r="N35" s="215">
        <f t="shared" ca="1" si="18"/>
        <v>274.69929460652526</v>
      </c>
      <c r="O35" s="215"/>
      <c r="P35" t="s">
        <v>365</v>
      </c>
    </row>
    <row r="36" spans="2:16" x14ac:dyDescent="0.25">
      <c r="B36" s="135" t="s">
        <v>421</v>
      </c>
      <c r="C36" s="135"/>
      <c r="D36" s="135"/>
      <c r="E36" s="135"/>
      <c r="F36" s="135"/>
      <c r="G36" s="73">
        <f>+'Balance Sheet'!G57</f>
        <v>29.4</v>
      </c>
      <c r="H36" s="73">
        <f>+'Balance Sheet'!H57</f>
        <v>33.299999999999997</v>
      </c>
      <c r="I36" s="215">
        <f t="shared" ca="1" si="18"/>
        <v>42.250380628777897</v>
      </c>
      <c r="J36" s="215">
        <f t="shared" ca="1" si="18"/>
        <v>49.200710279908236</v>
      </c>
      <c r="K36" s="215">
        <f t="shared" ca="1" si="18"/>
        <v>57.031397916372569</v>
      </c>
      <c r="L36" s="215">
        <f t="shared" ca="1" si="18"/>
        <v>65.969971594447216</v>
      </c>
      <c r="M36" s="215">
        <f t="shared" ca="1" si="18"/>
        <v>75.084455973651998</v>
      </c>
      <c r="N36" s="215">
        <f t="shared" ca="1" si="18"/>
        <v>84.522859878930845</v>
      </c>
      <c r="O36" s="215"/>
      <c r="P36" t="s">
        <v>365</v>
      </c>
    </row>
    <row r="37" spans="2:16" x14ac:dyDescent="0.25">
      <c r="B37" s="385" t="s">
        <v>422</v>
      </c>
      <c r="C37" s="124"/>
      <c r="D37" s="124"/>
      <c r="E37" s="124"/>
      <c r="F37" s="124"/>
      <c r="G37" s="73">
        <f>+'Balance Sheet'!G58</f>
        <v>38</v>
      </c>
      <c r="H37" s="73">
        <f>+'Balance Sheet'!H58</f>
        <v>65.5</v>
      </c>
      <c r="I37" s="215">
        <f t="shared" ca="1" si="18"/>
        <v>52.81297578597237</v>
      </c>
      <c r="J37" s="215">
        <f t="shared" ca="1" si="18"/>
        <v>61.500887849885295</v>
      </c>
      <c r="K37" s="215">
        <f t="shared" ca="1" si="18"/>
        <v>71.289247395465722</v>
      </c>
      <c r="L37" s="215">
        <f t="shared" ca="1" si="18"/>
        <v>82.462464493059031</v>
      </c>
      <c r="M37" s="215">
        <f t="shared" ca="1" si="18"/>
        <v>93.855569967065009</v>
      </c>
      <c r="N37" s="215">
        <f t="shared" ca="1" si="18"/>
        <v>105.65357484866357</v>
      </c>
      <c r="O37" s="63"/>
      <c r="P37" t="s">
        <v>365</v>
      </c>
    </row>
    <row r="38" spans="2:16" x14ac:dyDescent="0.25">
      <c r="B38" s="386" t="s">
        <v>452</v>
      </c>
      <c r="C38" s="124"/>
      <c r="D38" s="124"/>
      <c r="E38" s="124"/>
      <c r="F38" s="124"/>
      <c r="G38" s="63">
        <f>+SUM(G35:G37)</f>
        <v>133.5</v>
      </c>
      <c r="H38" s="63">
        <f t="shared" ref="H38:N38" si="19">+SUM(H35:H37)</f>
        <v>180.1</v>
      </c>
      <c r="I38" s="63">
        <f t="shared" ca="1" si="19"/>
        <v>232.37709345827841</v>
      </c>
      <c r="J38" s="63">
        <f t="shared" ca="1" si="19"/>
        <v>270.60390653949531</v>
      </c>
      <c r="K38" s="63">
        <f t="shared" ca="1" si="19"/>
        <v>313.67268854004919</v>
      </c>
      <c r="L38" s="63">
        <f t="shared" ca="1" si="19"/>
        <v>362.83484376945972</v>
      </c>
      <c r="M38" s="63">
        <f t="shared" ca="1" si="19"/>
        <v>412.96450785508603</v>
      </c>
      <c r="N38" s="63">
        <f t="shared" ca="1" si="19"/>
        <v>464.87572933411968</v>
      </c>
      <c r="O38" s="63"/>
    </row>
    <row r="39" spans="2:16" ht="2.1" customHeight="1" x14ac:dyDescent="0.25">
      <c r="B39" s="7"/>
      <c r="C39" s="7"/>
      <c r="D39" s="7"/>
      <c r="E39" s="7"/>
      <c r="F39" s="7"/>
    </row>
    <row r="40" spans="2:16" ht="14.45" customHeight="1" x14ac:dyDescent="0.25">
      <c r="B40" s="385" t="s">
        <v>423</v>
      </c>
      <c r="C40" s="7"/>
      <c r="D40" s="7"/>
      <c r="E40" s="7"/>
      <c r="F40" s="7"/>
      <c r="G40" s="168">
        <f>+'Balance Sheet'!G25</f>
        <v>45</v>
      </c>
      <c r="H40" s="168">
        <f>+'Balance Sheet'!H25</f>
        <v>118.7</v>
      </c>
      <c r="I40" s="387">
        <f t="shared" ref="I40:N41" ca="1" si="20">+I64*I$8</f>
        <v>105.62595157194474</v>
      </c>
      <c r="J40" s="387">
        <f t="shared" ca="1" si="20"/>
        <v>123.00177569977059</v>
      </c>
      <c r="K40" s="387">
        <f t="shared" ca="1" si="20"/>
        <v>142.57849479093144</v>
      </c>
      <c r="L40" s="387">
        <f t="shared" ca="1" si="20"/>
        <v>164.92492898611806</v>
      </c>
      <c r="M40" s="387">
        <f t="shared" ca="1" si="20"/>
        <v>187.71113993413002</v>
      </c>
      <c r="N40" s="387">
        <f t="shared" ca="1" si="20"/>
        <v>211.30714969732713</v>
      </c>
      <c r="P40" t="s">
        <v>365</v>
      </c>
    </row>
    <row r="41" spans="2:16" x14ac:dyDescent="0.25">
      <c r="B41" s="385" t="s">
        <v>424</v>
      </c>
      <c r="C41" s="135"/>
      <c r="D41" s="135"/>
      <c r="E41" s="135"/>
      <c r="F41" s="135"/>
      <c r="G41" s="168">
        <f>+'Balance Sheet'!G26</f>
        <v>172.6</v>
      </c>
      <c r="H41" s="168">
        <f>+'Balance Sheet'!H26</f>
        <v>215.9</v>
      </c>
      <c r="I41" s="387">
        <f t="shared" ca="1" si="20"/>
        <v>190.12671282950052</v>
      </c>
      <c r="J41" s="387">
        <f t="shared" ca="1" si="20"/>
        <v>221.40319625958705</v>
      </c>
      <c r="K41" s="387">
        <f t="shared" ca="1" si="20"/>
        <v>256.64129062367658</v>
      </c>
      <c r="L41" s="387">
        <f t="shared" ca="1" si="20"/>
        <v>296.86487217501247</v>
      </c>
      <c r="M41" s="387">
        <f t="shared" ca="1" si="20"/>
        <v>337.88005188143399</v>
      </c>
      <c r="N41" s="387">
        <f t="shared" ca="1" si="20"/>
        <v>380.3528694551888</v>
      </c>
      <c r="O41" s="215"/>
      <c r="P41" t="s">
        <v>365</v>
      </c>
    </row>
    <row r="42" spans="2:16" x14ac:dyDescent="0.25">
      <c r="B42" s="385" t="s">
        <v>425</v>
      </c>
      <c r="C42" s="135"/>
      <c r="D42" s="135"/>
      <c r="E42" s="135"/>
      <c r="F42" s="135"/>
      <c r="G42" s="168">
        <f>+'Balance Sheet'!G27</f>
        <v>162.5</v>
      </c>
      <c r="H42" s="168">
        <f>+'Balance Sheet'!H27</f>
        <v>23.8</v>
      </c>
      <c r="I42" s="215">
        <f t="shared" ref="I42:N42" ca="1" si="21">+I66*I6</f>
        <v>17.03644380192657</v>
      </c>
      <c r="J42" s="215">
        <f t="shared" ca="1" si="21"/>
        <v>19.838996080608158</v>
      </c>
      <c r="K42" s="215">
        <f t="shared" ca="1" si="21"/>
        <v>22.996531417892164</v>
      </c>
      <c r="L42" s="215">
        <f t="shared" ca="1" si="21"/>
        <v>26.600794997760971</v>
      </c>
      <c r="M42" s="215">
        <f t="shared" ca="1" si="21"/>
        <v>30.275990311956452</v>
      </c>
      <c r="N42" s="215">
        <f t="shared" ca="1" si="21"/>
        <v>34.081798338278567</v>
      </c>
      <c r="O42" s="215"/>
      <c r="P42" t="s">
        <v>365</v>
      </c>
    </row>
    <row r="43" spans="2:16" x14ac:dyDescent="0.25">
      <c r="B43" s="386" t="s">
        <v>453</v>
      </c>
      <c r="C43" s="124"/>
      <c r="D43" s="124"/>
      <c r="E43" s="124"/>
      <c r="F43" s="124"/>
      <c r="G43" s="63">
        <f>+SUM(G40:G41)</f>
        <v>217.6</v>
      </c>
      <c r="H43" s="63">
        <f t="shared" ref="H43:N43" si="22">+SUM(H40:H41)</f>
        <v>334.6</v>
      </c>
      <c r="I43" s="63">
        <f t="shared" ca="1" si="22"/>
        <v>295.75266440144526</v>
      </c>
      <c r="J43" s="63">
        <f t="shared" ca="1" si="22"/>
        <v>344.40497195935762</v>
      </c>
      <c r="K43" s="63">
        <f t="shared" ca="1" si="22"/>
        <v>399.21978541460805</v>
      </c>
      <c r="L43" s="63">
        <f t="shared" ca="1" si="22"/>
        <v>461.78980116113053</v>
      </c>
      <c r="M43" s="63">
        <f t="shared" ca="1" si="22"/>
        <v>525.591191815564</v>
      </c>
      <c r="N43" s="63">
        <f t="shared" ca="1" si="22"/>
        <v>591.66001915251593</v>
      </c>
      <c r="O43" s="63"/>
      <c r="P43" s="18"/>
    </row>
    <row r="44" spans="2:16" ht="2.1" customHeight="1" x14ac:dyDescent="0.25">
      <c r="B44" s="135"/>
      <c r="C44" s="135"/>
      <c r="D44" s="135"/>
      <c r="E44" s="135"/>
      <c r="F44" s="135"/>
    </row>
    <row r="45" spans="2:16" x14ac:dyDescent="0.25">
      <c r="B45" s="22" t="s">
        <v>200</v>
      </c>
      <c r="C45" s="22"/>
      <c r="D45" s="22"/>
      <c r="E45" s="22"/>
      <c r="F45" s="22"/>
      <c r="G45" s="215">
        <f>+G38-G43</f>
        <v>-84.1</v>
      </c>
      <c r="H45" s="215">
        <f t="shared" ref="H45:N45" si="23">+H38-H43</f>
        <v>-154.50000000000003</v>
      </c>
      <c r="I45" s="215">
        <f t="shared" ca="1" si="23"/>
        <v>-63.375570943166849</v>
      </c>
      <c r="J45" s="215">
        <f t="shared" ca="1" si="23"/>
        <v>-73.801065419862312</v>
      </c>
      <c r="K45" s="215">
        <f t="shared" ca="1" si="23"/>
        <v>-85.547096874558861</v>
      </c>
      <c r="L45" s="215">
        <f t="shared" ca="1" si="23"/>
        <v>-98.954957391670803</v>
      </c>
      <c r="M45" s="215">
        <f t="shared" ca="1" si="23"/>
        <v>-112.62668396047798</v>
      </c>
      <c r="N45" s="215">
        <f t="shared" ca="1" si="23"/>
        <v>-126.78428981839625</v>
      </c>
      <c r="O45" s="215"/>
    </row>
    <row r="46" spans="2:16" x14ac:dyDescent="0.25">
      <c r="B46" s="124" t="s">
        <v>201</v>
      </c>
      <c r="C46" s="124"/>
      <c r="D46" s="124"/>
      <c r="E46" s="124"/>
      <c r="F46" s="124"/>
      <c r="G46" s="215"/>
      <c r="H46" s="217">
        <f>+H45-G45</f>
        <v>-70.400000000000034</v>
      </c>
      <c r="I46" s="217">
        <f t="shared" ref="I46:N46" ca="1" si="24">+I45-H45</f>
        <v>91.124429056833179</v>
      </c>
      <c r="J46" s="217">
        <f t="shared" ca="1" si="24"/>
        <v>-10.425494476695462</v>
      </c>
      <c r="K46" s="217">
        <f t="shared" ca="1" si="24"/>
        <v>-11.746031454696549</v>
      </c>
      <c r="L46" s="217">
        <f t="shared" ca="1" si="24"/>
        <v>-13.407860517111942</v>
      </c>
      <c r="M46" s="217">
        <f t="shared" ca="1" si="24"/>
        <v>-13.671726568807173</v>
      </c>
      <c r="N46" s="217">
        <f t="shared" ca="1" si="24"/>
        <v>-14.15760585791827</v>
      </c>
      <c r="O46" s="217"/>
    </row>
    <row r="48" spans="2:16" x14ac:dyDescent="0.25">
      <c r="B48" s="29" t="s">
        <v>178</v>
      </c>
      <c r="C48" s="136" t="s">
        <v>3</v>
      </c>
      <c r="D48" s="136" t="s">
        <v>4</v>
      </c>
      <c r="E48" s="136" t="s">
        <v>5</v>
      </c>
      <c r="F48" s="136" t="s">
        <v>6</v>
      </c>
      <c r="G48" s="136" t="s">
        <v>7</v>
      </c>
      <c r="H48" s="136" t="s">
        <v>8</v>
      </c>
      <c r="I48" s="136" t="s">
        <v>187</v>
      </c>
      <c r="J48" s="136" t="s">
        <v>188</v>
      </c>
      <c r="K48" s="136" t="s">
        <v>189</v>
      </c>
      <c r="L48" s="136" t="s">
        <v>190</v>
      </c>
      <c r="M48" s="136" t="s">
        <v>191</v>
      </c>
      <c r="N48" s="137" t="s">
        <v>192</v>
      </c>
      <c r="O48" s="312"/>
    </row>
    <row r="49" spans="2:16" x14ac:dyDescent="0.25">
      <c r="B49" s="30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31"/>
      <c r="O49" s="313"/>
    </row>
    <row r="50" spans="2:16" x14ac:dyDescent="0.25">
      <c r="B50" s="30" t="str">
        <f>'Income Statement'!B66</f>
        <v>COGS % of Rev</v>
      </c>
      <c r="C50" s="138">
        <f>'Income Statement'!C66</f>
        <v>0.64726477024070017</v>
      </c>
      <c r="D50" s="138">
        <f>'Income Statement'!D66</f>
        <v>0.66108786610878656</v>
      </c>
      <c r="E50" s="138">
        <f>'Income Statement'!E66</f>
        <v>0.58596973865199453</v>
      </c>
      <c r="F50" s="138">
        <f>'Income Statement'!F66</f>
        <v>0.58320478210566906</v>
      </c>
      <c r="G50" s="138">
        <f>'Income Statement'!G66</f>
        <v>0.61459428848798647</v>
      </c>
      <c r="H50" s="138">
        <f>'Income Statement'!H66</f>
        <v>0.62279182542431588</v>
      </c>
      <c r="I50" s="138">
        <f ca="1">+Assumptions!I68</f>
        <v>0.62</v>
      </c>
      <c r="J50" s="138">
        <f ca="1">+Assumptions!J68</f>
        <v>0.62</v>
      </c>
      <c r="K50" s="138">
        <f ca="1">+Assumptions!K68</f>
        <v>0.62</v>
      </c>
      <c r="L50" s="138">
        <f ca="1">+Assumptions!L68</f>
        <v>0.62</v>
      </c>
      <c r="M50" s="138">
        <f ca="1">+Assumptions!M68</f>
        <v>0.62</v>
      </c>
      <c r="N50" s="144">
        <f ca="1">+Assumptions!N68</f>
        <v>0.62</v>
      </c>
      <c r="O50" s="314"/>
      <c r="P50" t="s">
        <v>366</v>
      </c>
    </row>
    <row r="51" spans="2:16" x14ac:dyDescent="0.25">
      <c r="B51" s="30" t="str">
        <f>'Income Statement'!B68</f>
        <v>SG&amp;A % of Rev</v>
      </c>
      <c r="C51" s="138">
        <f>'Income Statement'!C68</f>
        <v>0.18205689277899342</v>
      </c>
      <c r="D51" s="138">
        <f>'Income Statement'!D68</f>
        <v>0.21297071129707112</v>
      </c>
      <c r="E51" s="138">
        <f>'Income Statement'!E68</f>
        <v>0.16822558459422282</v>
      </c>
      <c r="F51" s="138">
        <f>'Income Statement'!F68</f>
        <v>9.226764365599692E-2</v>
      </c>
      <c r="G51" s="138">
        <f>'Income Statement'!G68</f>
        <v>0.20354340263732709</v>
      </c>
      <c r="H51" s="138">
        <f>'Income Statement'!H68</f>
        <v>0.16411499826809839</v>
      </c>
      <c r="I51" s="138">
        <f ca="1">+Assumptions!I74</f>
        <v>0.17</v>
      </c>
      <c r="J51" s="138">
        <f ca="1">+Assumptions!J74</f>
        <v>0.17</v>
      </c>
      <c r="K51" s="138">
        <f ca="1">+Assumptions!K74</f>
        <v>0.17</v>
      </c>
      <c r="L51" s="138">
        <f ca="1">+Assumptions!L74</f>
        <v>0.17</v>
      </c>
      <c r="M51" s="138">
        <f ca="1">+Assumptions!M74</f>
        <v>0.17</v>
      </c>
      <c r="N51" s="144">
        <f ca="1">+Assumptions!N74</f>
        <v>0.17</v>
      </c>
      <c r="O51" s="314"/>
      <c r="P51" t="s">
        <v>366</v>
      </c>
    </row>
    <row r="52" spans="2:16" x14ac:dyDescent="0.25">
      <c r="B52" s="30" t="s">
        <v>470</v>
      </c>
      <c r="C52" s="138">
        <f>+'Income Statement'!C69</f>
        <v>-1.312910284463895E-3</v>
      </c>
      <c r="D52" s="138">
        <f>+'Income Statement'!D69</f>
        <v>-8.368200836820083E-3</v>
      </c>
      <c r="E52" s="138">
        <f>+'Income Statement'!E69</f>
        <v>-5.0894085281980743E-2</v>
      </c>
      <c r="F52" s="138">
        <f>+'Income Statement'!F69</f>
        <v>-3.0563054377169298E-2</v>
      </c>
      <c r="G52" s="138">
        <f>+'Income Statement'!G69</f>
        <v>9.2225548094814341E-3</v>
      </c>
      <c r="H52" s="138">
        <f>+'Income Statement'!H69</f>
        <v>2.2722549359196396E-2</v>
      </c>
      <c r="I52" s="138">
        <f ca="1">+Assumptions!I79</f>
        <v>5.0000000000000001E-3</v>
      </c>
      <c r="J52" s="138">
        <f ca="1">+Assumptions!J79</f>
        <v>5.0000000000000001E-3</v>
      </c>
      <c r="K52" s="138">
        <f ca="1">+Assumptions!K79</f>
        <v>5.0000000000000001E-3</v>
      </c>
      <c r="L52" s="138">
        <f ca="1">+Assumptions!L79</f>
        <v>5.0000000000000001E-3</v>
      </c>
      <c r="M52" s="138">
        <f ca="1">+Assumptions!M79</f>
        <v>5.0000000000000001E-3</v>
      </c>
      <c r="N52" s="144">
        <f ca="1">+Assumptions!N79</f>
        <v>5.0000000000000001E-3</v>
      </c>
      <c r="O52" s="314"/>
      <c r="P52" t="s">
        <v>366</v>
      </c>
    </row>
    <row r="53" spans="2:16" x14ac:dyDescent="0.25">
      <c r="B53" s="30" t="str">
        <f>'Income Statement'!B71</f>
        <v>Income Tax % of Rev</v>
      </c>
      <c r="C53" s="138">
        <f>'Income Statement'!C71</f>
        <v>7.264770240700219E-2</v>
      </c>
      <c r="D53" s="138">
        <f>'Income Statement'!D71</f>
        <v>2.3849372384937239E-2</v>
      </c>
      <c r="E53" s="138">
        <f>'Income Statement'!E71</f>
        <v>7.34525447042641E-2</v>
      </c>
      <c r="F53" s="138">
        <f>'Income Statement'!F71</f>
        <v>5.7751639028152717E-2</v>
      </c>
      <c r="G53" s="138">
        <f>'Income Statement'!G71</f>
        <v>2.8072162446404016E-2</v>
      </c>
      <c r="H53" s="138">
        <f>'Income Statement'!H71</f>
        <v>2.5701420159334951E-2</v>
      </c>
      <c r="I53" s="138">
        <f ca="1">+Assumptions!I84</f>
        <v>0.03</v>
      </c>
      <c r="J53" s="138">
        <f ca="1">+Assumptions!J84</f>
        <v>0.03</v>
      </c>
      <c r="K53" s="138">
        <f ca="1">+Assumptions!K84</f>
        <v>0.03</v>
      </c>
      <c r="L53" s="138">
        <f ca="1">+Assumptions!L84</f>
        <v>0.03</v>
      </c>
      <c r="M53" s="138">
        <f ca="1">+Assumptions!M84</f>
        <v>0.03</v>
      </c>
      <c r="N53" s="144">
        <f ca="1">+Assumptions!N84</f>
        <v>0.03</v>
      </c>
      <c r="O53" s="314"/>
      <c r="P53" t="s">
        <v>366</v>
      </c>
    </row>
    <row r="54" spans="2:16" x14ac:dyDescent="0.25">
      <c r="B54" s="30"/>
      <c r="C54" s="125"/>
      <c r="D54" s="125"/>
      <c r="E54" s="125"/>
      <c r="F54" s="125"/>
      <c r="G54" s="125"/>
      <c r="H54" s="125"/>
      <c r="I54" s="139"/>
      <c r="J54" s="139"/>
      <c r="K54" s="139"/>
      <c r="L54" s="139"/>
      <c r="M54" s="139"/>
      <c r="N54" s="140"/>
      <c r="O54" s="82"/>
    </row>
    <row r="55" spans="2:16" x14ac:dyDescent="0.25">
      <c r="B55" s="30" t="str">
        <f>'Cash Flow'!B51</f>
        <v>D&amp;A % of Rev</v>
      </c>
      <c r="C55" s="138">
        <f>'Cash Flow'!C51</f>
        <v>2.3632385120350111E-2</v>
      </c>
      <c r="D55" s="138">
        <f>'Cash Flow'!D51</f>
        <v>2.5523012552301255E-2</v>
      </c>
      <c r="E55" s="138">
        <f>'Cash Flow'!E51</f>
        <v>5.5845942228335631E-2</v>
      </c>
      <c r="F55" s="138">
        <f>'Cash Flow'!F51</f>
        <v>5.9872734284612414E-2</v>
      </c>
      <c r="G55" s="138">
        <f>'Cash Flow'!G51</f>
        <v>5.7762316964646884E-2</v>
      </c>
      <c r="H55" s="138">
        <f>'Cash Flow'!H51</f>
        <v>6.1517145826117073E-2</v>
      </c>
      <c r="I55" s="138">
        <f ca="1">+Assumptions!I89</f>
        <v>0.06</v>
      </c>
      <c r="J55" s="138">
        <f ca="1">+Assumptions!J89</f>
        <v>0.06</v>
      </c>
      <c r="K55" s="138">
        <f ca="1">+Assumptions!K89</f>
        <v>0.06</v>
      </c>
      <c r="L55" s="138">
        <f ca="1">+Assumptions!L89</f>
        <v>0.06</v>
      </c>
      <c r="M55" s="138">
        <f ca="1">+Assumptions!M89</f>
        <v>0.06</v>
      </c>
      <c r="N55" s="144">
        <f ca="1">+Assumptions!N89</f>
        <v>0.06</v>
      </c>
      <c r="O55" s="314"/>
      <c r="P55" t="s">
        <v>367</v>
      </c>
    </row>
    <row r="56" spans="2:16" x14ac:dyDescent="0.25">
      <c r="B56" s="30" t="str">
        <f>'Cash Flow'!B52</f>
        <v>Capex % of Rev</v>
      </c>
      <c r="C56" s="138">
        <f>'Cash Flow'!C52</f>
        <v>4.0700218818380741E-2</v>
      </c>
      <c r="D56" s="138">
        <f>'Cash Flow'!D52</f>
        <v>4.5188284518828455E-2</v>
      </c>
      <c r="E56" s="138">
        <f>'Cash Flow'!E52</f>
        <v>0.12929848693259974</v>
      </c>
      <c r="F56" s="138">
        <f>'Cash Flow'!F52</f>
        <v>9.9402236791361342E-2</v>
      </c>
      <c r="G56" s="138">
        <f>'Cash Flow'!G52</f>
        <v>0.10678747674136398</v>
      </c>
      <c r="H56" s="138">
        <f>'Cash Flow'!H52</f>
        <v>0.12504329754069968</v>
      </c>
      <c r="I56" s="138">
        <f ca="1">+Assumptions!I94</f>
        <v>0.13</v>
      </c>
      <c r="J56" s="138">
        <f ca="1">+Assumptions!J94</f>
        <v>0.13</v>
      </c>
      <c r="K56" s="138">
        <f ca="1">+Assumptions!K94</f>
        <v>0.14000000000000001</v>
      </c>
      <c r="L56" s="138">
        <f ca="1">+Assumptions!L94</f>
        <v>0.15</v>
      </c>
      <c r="M56" s="138">
        <f ca="1">+Assumptions!M94</f>
        <v>0.14000000000000001</v>
      </c>
      <c r="N56" s="144">
        <f ca="1">+Assumptions!N94</f>
        <v>0.13</v>
      </c>
      <c r="O56" s="314"/>
      <c r="P56" t="s">
        <v>367</v>
      </c>
    </row>
    <row r="57" spans="2:16" x14ac:dyDescent="0.25">
      <c r="B57" s="30"/>
      <c r="C57" s="125"/>
      <c r="D57" s="125"/>
      <c r="E57" s="125"/>
      <c r="F57" s="125"/>
      <c r="G57" s="125"/>
      <c r="H57" s="125"/>
      <c r="I57" s="139"/>
      <c r="J57" s="139"/>
      <c r="K57" s="139"/>
      <c r="L57" s="139"/>
      <c r="M57" s="139"/>
      <c r="N57" s="140"/>
      <c r="O57" s="82"/>
    </row>
    <row r="58" spans="2:16" x14ac:dyDescent="0.25">
      <c r="B58" s="30" t="str">
        <f>+'Balance Sheet'!B71</f>
        <v xml:space="preserve">  Cash and Cash Equivalents (% Rev)</v>
      </c>
      <c r="C58" s="138">
        <f>+'Balance Sheet'!C71</f>
        <v>4.2013129102844639E-2</v>
      </c>
      <c r="D58" s="138">
        <f>+'Balance Sheet'!D71</f>
        <v>6.6527196652719667E-2</v>
      </c>
      <c r="E58" s="138">
        <f>+'Balance Sheet'!E71</f>
        <v>1.0453920220082531</v>
      </c>
      <c r="F58" s="138">
        <f>+'Balance Sheet'!F71</f>
        <v>0.11820285383725414</v>
      </c>
      <c r="G58" s="138">
        <f>+'Balance Sheet'!G71</f>
        <v>1.8930507240514521E-2</v>
      </c>
      <c r="H58" s="138">
        <f>+'Balance Sheet'!H71</f>
        <v>0.2834083824038795</v>
      </c>
      <c r="I58" s="138">
        <f ca="1">+Assumptions!I101</f>
        <v>0.15</v>
      </c>
      <c r="J58" s="138">
        <f ca="1">+Assumptions!J101</f>
        <v>0.15</v>
      </c>
      <c r="K58" s="138">
        <f ca="1">+Assumptions!K101</f>
        <v>0.15</v>
      </c>
      <c r="L58" s="138">
        <f ca="1">+Assumptions!L101</f>
        <v>0.15</v>
      </c>
      <c r="M58" s="138">
        <f ca="1">+Assumptions!M101</f>
        <v>0.15</v>
      </c>
      <c r="N58" s="144">
        <f ca="1">+Assumptions!N101</f>
        <v>0.15</v>
      </c>
      <c r="O58" s="314"/>
      <c r="P58" t="s">
        <v>368</v>
      </c>
    </row>
    <row r="59" spans="2:16" x14ac:dyDescent="0.25">
      <c r="B59" s="30" t="str">
        <f>+'Balance Sheet'!B72</f>
        <v xml:space="preserve">  Short-term Investments (% Rev)</v>
      </c>
      <c r="C59" s="138">
        <f>+'Balance Sheet'!C72</f>
        <v>0</v>
      </c>
      <c r="D59" s="138">
        <f>+'Balance Sheet'!D72</f>
        <v>0</v>
      </c>
      <c r="E59" s="138">
        <f>+'Balance Sheet'!E72</f>
        <v>0</v>
      </c>
      <c r="F59" s="138">
        <f>+'Balance Sheet'!F72</f>
        <v>0</v>
      </c>
      <c r="G59" s="138">
        <f>+'Balance Sheet'!G72</f>
        <v>0</v>
      </c>
      <c r="H59" s="138">
        <f>+'Balance Sheet'!H72</f>
        <v>0.24073432629026673</v>
      </c>
      <c r="I59" s="138">
        <f ca="1">+Assumptions!I106</f>
        <v>0</v>
      </c>
      <c r="J59" s="138">
        <f ca="1">+Assumptions!J106</f>
        <v>0</v>
      </c>
      <c r="K59" s="138">
        <f ca="1">+Assumptions!K106</f>
        <v>0</v>
      </c>
      <c r="L59" s="138">
        <f ca="1">+Assumptions!L106</f>
        <v>0</v>
      </c>
      <c r="M59" s="138">
        <f ca="1">+Assumptions!M106</f>
        <v>0</v>
      </c>
      <c r="N59" s="144">
        <f ca="1">+Assumptions!N106</f>
        <v>0</v>
      </c>
      <c r="O59" s="314"/>
      <c r="P59" t="s">
        <v>368</v>
      </c>
    </row>
    <row r="60" spans="2:16" x14ac:dyDescent="0.25">
      <c r="B60" s="30" t="str">
        <f>+'Balance Sheet'!B73</f>
        <v xml:space="preserve">  Accounts Receivables (% COGS)</v>
      </c>
      <c r="C60" s="138">
        <f>+'Balance Sheet'!C73</f>
        <v>0.27653820148749153</v>
      </c>
      <c r="D60" s="138">
        <f>+'Balance Sheet'!D73</f>
        <v>0.2537974683544304</v>
      </c>
      <c r="E60" s="138">
        <f>+'Balance Sheet'!E73</f>
        <v>1.016431924882629</v>
      </c>
      <c r="F60" s="138">
        <f>+'Balance Sheet'!F73</f>
        <v>0.10795172755827409</v>
      </c>
      <c r="G60" s="138">
        <f>+'Balance Sheet'!G73</f>
        <v>8.7008029485323143E-2</v>
      </c>
      <c r="H60" s="138">
        <f>+'Balance Sheet'!H73</f>
        <v>9.0433815350389316E-2</v>
      </c>
      <c r="I60" s="138">
        <f ca="1">+Assumptions!I111</f>
        <v>0.13</v>
      </c>
      <c r="J60" s="138">
        <f ca="1">+Assumptions!J111</f>
        <v>0.13</v>
      </c>
      <c r="K60" s="138">
        <f ca="1">+Assumptions!K111</f>
        <v>0.13</v>
      </c>
      <c r="L60" s="138">
        <f ca="1">+Assumptions!L111</f>
        <v>0.13</v>
      </c>
      <c r="M60" s="138">
        <f ca="1">+Assumptions!M111</f>
        <v>0.13</v>
      </c>
      <c r="N60" s="144">
        <f ca="1">+Assumptions!N111</f>
        <v>0.13</v>
      </c>
      <c r="O60" s="314"/>
      <c r="P60" t="s">
        <v>368</v>
      </c>
    </row>
    <row r="61" spans="2:16" x14ac:dyDescent="0.25">
      <c r="B61" s="30" t="str">
        <f>+'Balance Sheet'!B74</f>
        <v xml:space="preserve">  Inventories (% COGS)</v>
      </c>
      <c r="C61" s="138">
        <f>+'Balance Sheet'!C74</f>
        <v>0.11899932386747802</v>
      </c>
      <c r="D61" s="138">
        <f>+'Balance Sheet'!D74</f>
        <v>0.12278481012658228</v>
      </c>
      <c r="E61" s="138">
        <f>+'Balance Sheet'!E74</f>
        <v>0.46713615023474181</v>
      </c>
      <c r="F61" s="138">
        <f>+'Balance Sheet'!F74</f>
        <v>4.5296743263349315E-2</v>
      </c>
      <c r="G61" s="138">
        <f>+'Balance Sheet'!G74</f>
        <v>3.8699486639462939E-2</v>
      </c>
      <c r="H61" s="138">
        <f>+'Balance Sheet'!H74</f>
        <v>3.7041156840934369E-2</v>
      </c>
      <c r="I61" s="138">
        <f ca="1">+Assumptions!I116</f>
        <v>0.04</v>
      </c>
      <c r="J61" s="138">
        <f ca="1">+Assumptions!J116</f>
        <v>0.04</v>
      </c>
      <c r="K61" s="138">
        <f ca="1">+Assumptions!K116</f>
        <v>0.04</v>
      </c>
      <c r="L61" s="138">
        <f ca="1">+Assumptions!L116</f>
        <v>0.04</v>
      </c>
      <c r="M61" s="138">
        <f ca="1">+Assumptions!M116</f>
        <v>0.04</v>
      </c>
      <c r="N61" s="144">
        <f ca="1">+Assumptions!N116</f>
        <v>0.04</v>
      </c>
      <c r="O61" s="314"/>
      <c r="P61" t="s">
        <v>368</v>
      </c>
    </row>
    <row r="62" spans="2:16" x14ac:dyDescent="0.25">
      <c r="B62" s="30" t="str">
        <f>+'Balance Sheet'!B75</f>
        <v xml:space="preserve">  Prepaid Expenses and Other Current Assets (% COGS)</v>
      </c>
      <c r="C62" s="138">
        <f>+'Balance Sheet'!C75</f>
        <v>2.9749830966869506E-2</v>
      </c>
      <c r="D62" s="138">
        <f>+'Balance Sheet'!D75</f>
        <v>2.7215189873417721E-2</v>
      </c>
      <c r="E62" s="138">
        <f>+'Balance Sheet'!E75</f>
        <v>0.107981220657277</v>
      </c>
      <c r="F62" s="138">
        <f>+'Balance Sheet'!F75</f>
        <v>4.5131426682096215E-2</v>
      </c>
      <c r="G62" s="138">
        <f>+'Balance Sheet'!G75</f>
        <v>5.0019744636040538E-2</v>
      </c>
      <c r="H62" s="138">
        <f>+'Balance Sheet'!H75</f>
        <v>7.2858731924360404E-2</v>
      </c>
      <c r="I62" s="138">
        <f ca="1">+Assumptions!I122</f>
        <v>0.05</v>
      </c>
      <c r="J62" s="138">
        <f ca="1">+Assumptions!J122</f>
        <v>0.05</v>
      </c>
      <c r="K62" s="138">
        <f ca="1">+Assumptions!K122</f>
        <v>0.05</v>
      </c>
      <c r="L62" s="138">
        <f ca="1">+Assumptions!L122</f>
        <v>0.05</v>
      </c>
      <c r="M62" s="138">
        <f ca="1">+Assumptions!M122</f>
        <v>0.05</v>
      </c>
      <c r="N62" s="144">
        <f ca="1">+Assumptions!N122</f>
        <v>0.05</v>
      </c>
      <c r="O62" s="82"/>
    </row>
    <row r="63" spans="2:16" x14ac:dyDescent="0.25">
      <c r="B63" s="30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44"/>
      <c r="O63" s="314"/>
      <c r="P63" t="s">
        <v>368</v>
      </c>
    </row>
    <row r="64" spans="2:16" x14ac:dyDescent="0.25">
      <c r="B64" s="30" t="str">
        <f>+'Balance Sheet'!B77</f>
        <v xml:space="preserve">  Trade and Other Payables (% COGS)</v>
      </c>
      <c r="C64" s="138">
        <f>+'Balance Sheet'!C77</f>
        <v>0.12035158891142664</v>
      </c>
      <c r="D64" s="138">
        <f>+'Balance Sheet'!D77</f>
        <v>0.10822784810126582</v>
      </c>
      <c r="E64" s="138">
        <f>+'Balance Sheet'!E77</f>
        <v>0.44366197183098594</v>
      </c>
      <c r="F64" s="138">
        <f>+'Balance Sheet'!F77</f>
        <v>6.3812200363696489E-2</v>
      </c>
      <c r="G64" s="138">
        <f>+'Balance Sheet'!G77</f>
        <v>5.9233908121626953E-2</v>
      </c>
      <c r="H64" s="138">
        <f>+'Balance Sheet'!H77</f>
        <v>0.13203559510567298</v>
      </c>
      <c r="I64" s="138">
        <f ca="1">+Assumptions!I127</f>
        <v>0.1</v>
      </c>
      <c r="J64" s="138">
        <f ca="1">+Assumptions!J127</f>
        <v>0.1</v>
      </c>
      <c r="K64" s="138">
        <f ca="1">+Assumptions!K127</f>
        <v>0.1</v>
      </c>
      <c r="L64" s="138">
        <f ca="1">+Assumptions!L127</f>
        <v>0.1</v>
      </c>
      <c r="M64" s="138">
        <f ca="1">+Assumptions!M127</f>
        <v>0.1</v>
      </c>
      <c r="N64" s="144">
        <f ca="1">+Assumptions!N127</f>
        <v>0.1</v>
      </c>
      <c r="O64" s="314"/>
      <c r="P64" t="s">
        <v>368</v>
      </c>
    </row>
    <row r="65" spans="2:19" x14ac:dyDescent="0.25">
      <c r="B65" s="30" t="str">
        <f>+'Balance Sheet'!B78</f>
        <v xml:space="preserve">  Accrued Expenses and Other Liabilities (% COGS)</v>
      </c>
      <c r="C65" s="138">
        <f>+'Balance Sheet'!C78</f>
        <v>0.13725490196078433</v>
      </c>
      <c r="D65" s="138">
        <f>+'Balance Sheet'!D78</f>
        <v>0.15</v>
      </c>
      <c r="E65" s="138">
        <f>+'Balance Sheet'!E78</f>
        <v>0.59859154929577463</v>
      </c>
      <c r="F65" s="138">
        <f>+'Balance Sheet'!F78</f>
        <v>0.23012068110431474</v>
      </c>
      <c r="G65" s="138">
        <f>+'Balance Sheet'!G78</f>
        <v>0.22719494537317361</v>
      </c>
      <c r="H65" s="138">
        <f>+'Balance Sheet'!H78</f>
        <v>0.24015572858731926</v>
      </c>
      <c r="I65" s="138">
        <f ca="1">+Assumptions!I132</f>
        <v>0.18</v>
      </c>
      <c r="J65" s="138">
        <f ca="1">+Assumptions!J132</f>
        <v>0.18</v>
      </c>
      <c r="K65" s="138">
        <f ca="1">+Assumptions!K132</f>
        <v>0.18</v>
      </c>
      <c r="L65" s="138">
        <f ca="1">+Assumptions!L132</f>
        <v>0.18</v>
      </c>
      <c r="M65" s="138">
        <f ca="1">+Assumptions!M132</f>
        <v>0.18</v>
      </c>
      <c r="N65" s="144">
        <f ca="1">+Assumptions!N132</f>
        <v>0.18</v>
      </c>
      <c r="O65" s="314"/>
      <c r="P65" t="s">
        <v>368</v>
      </c>
    </row>
    <row r="66" spans="2:19" x14ac:dyDescent="0.25">
      <c r="B66" s="32" t="str">
        <f>+'Balance Sheet'!B79</f>
        <v xml:space="preserve">  Current Portion of Long-term Debt (% Rev)</v>
      </c>
      <c r="C66" s="146">
        <f>+'Balance Sheet'!C79</f>
        <v>1.3129102844638949E-2</v>
      </c>
      <c r="D66" s="146">
        <f>+'Balance Sheet'!D79</f>
        <v>6.2761506276150627E-3</v>
      </c>
      <c r="E66" s="146">
        <f>+'Balance Sheet'!E79</f>
        <v>0</v>
      </c>
      <c r="F66" s="146">
        <f>+'Balance Sheet'!F79</f>
        <v>1.4462013112225221E-2</v>
      </c>
      <c r="G66" s="146">
        <f>+'Balance Sheet'!G79</f>
        <v>0.13146185583690642</v>
      </c>
      <c r="H66" s="146">
        <f>+'Balance Sheet'!H79</f>
        <v>1.6487703498441288E-2</v>
      </c>
      <c r="I66" s="146">
        <f ca="1">+Assumptions!I137</f>
        <v>0.01</v>
      </c>
      <c r="J66" s="146">
        <f ca="1">+Assumptions!J137</f>
        <v>0.01</v>
      </c>
      <c r="K66" s="146">
        <f ca="1">+Assumptions!K137</f>
        <v>0.01</v>
      </c>
      <c r="L66" s="146">
        <f ca="1">+Assumptions!L137</f>
        <v>0.01</v>
      </c>
      <c r="M66" s="146">
        <f ca="1">+Assumptions!M137</f>
        <v>0.01</v>
      </c>
      <c r="N66" s="421">
        <f ca="1">+Assumptions!N137</f>
        <v>0.01</v>
      </c>
      <c r="O66" s="314"/>
      <c r="P66" t="s">
        <v>368</v>
      </c>
    </row>
    <row r="69" spans="2:19" x14ac:dyDescent="0.25">
      <c r="B69" s="297"/>
      <c r="C69" s="297"/>
      <c r="D69" s="297"/>
      <c r="E69" s="297"/>
      <c r="F69" s="297"/>
      <c r="G69" s="348"/>
      <c r="H69" s="348"/>
      <c r="I69" s="348"/>
      <c r="J69" s="348"/>
      <c r="K69" s="348"/>
      <c r="L69" s="348"/>
      <c r="M69" s="348"/>
      <c r="N69" s="348"/>
    </row>
    <row r="70" spans="2:19" x14ac:dyDescent="0.25">
      <c r="B70" s="297"/>
      <c r="C70" s="297"/>
      <c r="D70" s="297"/>
      <c r="E70" s="297"/>
      <c r="F70" s="297"/>
      <c r="G70" s="452"/>
      <c r="H70" s="452"/>
      <c r="I70" s="452"/>
      <c r="J70" s="452"/>
      <c r="K70" s="452"/>
      <c r="L70" s="452"/>
      <c r="M70" s="452"/>
      <c r="N70" s="452"/>
    </row>
    <row r="71" spans="2:19" x14ac:dyDescent="0.25">
      <c r="B71" s="297"/>
      <c r="C71" s="297"/>
      <c r="D71" s="297"/>
      <c r="E71" s="297"/>
      <c r="F71" s="297"/>
      <c r="G71" s="346"/>
      <c r="H71" s="346"/>
      <c r="I71" s="346"/>
      <c r="J71" s="346"/>
      <c r="K71" s="346"/>
      <c r="L71" s="346"/>
      <c r="M71" s="346"/>
      <c r="N71" s="346"/>
    </row>
    <row r="72" spans="2:19" x14ac:dyDescent="0.25">
      <c r="B72" s="297"/>
      <c r="C72" s="297"/>
      <c r="D72" s="297"/>
      <c r="E72" s="297"/>
      <c r="F72" s="297"/>
      <c r="G72" s="348"/>
      <c r="H72" s="348"/>
      <c r="I72" s="348"/>
      <c r="J72" s="348"/>
      <c r="K72" s="348"/>
      <c r="L72" s="348"/>
      <c r="M72" s="348"/>
      <c r="N72" s="348"/>
    </row>
    <row r="73" spans="2:19" x14ac:dyDescent="0.25">
      <c r="B73" s="297"/>
      <c r="C73" s="297"/>
      <c r="D73" s="297"/>
      <c r="E73" s="297"/>
      <c r="F73" s="297"/>
      <c r="G73" s="297"/>
      <c r="H73" s="297"/>
      <c r="I73" s="297"/>
      <c r="J73" s="297"/>
      <c r="K73" s="297"/>
      <c r="L73" s="297"/>
      <c r="M73" s="297"/>
      <c r="N73" s="297"/>
    </row>
    <row r="74" spans="2:19" x14ac:dyDescent="0.25">
      <c r="B74" s="297"/>
      <c r="C74" s="297"/>
      <c r="D74" s="297"/>
      <c r="E74" s="297"/>
      <c r="F74" s="297"/>
      <c r="G74" s="453"/>
      <c r="H74" s="471"/>
      <c r="I74" s="471"/>
      <c r="J74" s="473"/>
      <c r="K74" s="473"/>
      <c r="L74" s="473"/>
      <c r="M74" s="473"/>
      <c r="N74" s="473"/>
    </row>
    <row r="75" spans="2:19" x14ac:dyDescent="0.25">
      <c r="B75" s="297"/>
      <c r="C75" s="297"/>
      <c r="D75" s="297"/>
      <c r="E75" s="297"/>
      <c r="F75" s="297"/>
      <c r="G75" s="348"/>
      <c r="H75" s="348"/>
      <c r="I75" s="446"/>
      <c r="J75" s="446"/>
      <c r="K75" s="446"/>
      <c r="L75" s="446"/>
      <c r="M75" s="446"/>
      <c r="N75" s="446"/>
      <c r="P75" s="297"/>
      <c r="Q75" s="453"/>
      <c r="R75" s="297"/>
      <c r="S75" s="297"/>
    </row>
    <row r="76" spans="2:19" x14ac:dyDescent="0.25">
      <c r="B76" s="297"/>
      <c r="C76" s="297"/>
      <c r="D76" s="297"/>
      <c r="E76" s="297"/>
      <c r="F76" s="297"/>
      <c r="G76" s="471"/>
      <c r="H76" s="471"/>
      <c r="I76" s="472"/>
      <c r="J76" s="472"/>
      <c r="K76" s="472"/>
      <c r="L76" s="472"/>
      <c r="M76" s="472"/>
      <c r="N76" s="472"/>
    </row>
    <row r="77" spans="2:19" x14ac:dyDescent="0.25">
      <c r="B77" s="297"/>
      <c r="C77" s="297"/>
      <c r="D77" s="297"/>
      <c r="E77" s="297"/>
      <c r="F77" s="297"/>
      <c r="G77" s="453"/>
      <c r="H77" s="453"/>
      <c r="I77" s="473"/>
      <c r="J77" s="473"/>
      <c r="K77" s="473"/>
      <c r="L77" s="473"/>
      <c r="M77" s="473"/>
      <c r="N77" s="473"/>
      <c r="P77" s="297"/>
      <c r="Q77" s="348"/>
      <c r="R77" s="297"/>
      <c r="S77" s="297"/>
    </row>
    <row r="78" spans="2:19" x14ac:dyDescent="0.25">
      <c r="B78" s="342"/>
      <c r="C78" s="342"/>
      <c r="D78" s="342"/>
      <c r="E78" s="342"/>
      <c r="F78" s="342"/>
      <c r="G78" s="474"/>
      <c r="H78" s="474"/>
      <c r="I78" s="474"/>
      <c r="J78" s="474"/>
      <c r="K78" s="474"/>
      <c r="L78" s="474"/>
      <c r="M78" s="474"/>
      <c r="N78" s="474"/>
    </row>
    <row r="80" spans="2:19" x14ac:dyDescent="0.25">
      <c r="I80" s="2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99531-8A60-4735-97B2-7135FDC9A43F}">
  <dimension ref="A1:P47"/>
  <sheetViews>
    <sheetView showGridLines="0" topLeftCell="A28" workbookViewId="0">
      <selection activeCell="J25" sqref="J25"/>
    </sheetView>
  </sheetViews>
  <sheetFormatPr defaultColWidth="8.85546875" defaultRowHeight="15" x14ac:dyDescent="0.25"/>
  <cols>
    <col min="1" max="1" width="2.5703125" customWidth="1"/>
    <col min="2" max="2" width="33.5703125" bestFit="1" customWidth="1"/>
    <col min="15" max="15" width="2.7109375" customWidth="1"/>
    <col min="16" max="16" width="11.42578125" bestFit="1" customWidth="1"/>
  </cols>
  <sheetData>
    <row r="1" spans="1:16" ht="2.1" customHeight="1" x14ac:dyDescent="0.25"/>
    <row r="2" spans="1:16" x14ac:dyDescent="0.25">
      <c r="A2" t="s">
        <v>108</v>
      </c>
      <c r="B2" t="s">
        <v>300</v>
      </c>
    </row>
    <row r="3" spans="1:16" x14ac:dyDescent="0.25">
      <c r="B3" s="3"/>
      <c r="C3" s="6">
        <v>2019</v>
      </c>
      <c r="D3" s="6">
        <f t="shared" ref="D3:N3" si="0">+C3+1</f>
        <v>2020</v>
      </c>
      <c r="E3" s="6">
        <f t="shared" si="0"/>
        <v>2021</v>
      </c>
      <c r="F3" s="6">
        <f t="shared" si="0"/>
        <v>2022</v>
      </c>
      <c r="G3" s="6">
        <f t="shared" si="0"/>
        <v>2023</v>
      </c>
      <c r="H3" s="6">
        <f t="shared" si="0"/>
        <v>2024</v>
      </c>
      <c r="I3" s="6">
        <f t="shared" si="0"/>
        <v>2025</v>
      </c>
      <c r="J3" s="6">
        <f t="shared" si="0"/>
        <v>2026</v>
      </c>
      <c r="K3" s="6">
        <f t="shared" si="0"/>
        <v>2027</v>
      </c>
      <c r="L3" s="6">
        <f t="shared" si="0"/>
        <v>2028</v>
      </c>
      <c r="M3" s="6">
        <f t="shared" si="0"/>
        <v>2029</v>
      </c>
      <c r="N3" s="6">
        <f t="shared" si="0"/>
        <v>2030</v>
      </c>
      <c r="O3" s="4"/>
    </row>
    <row r="4" spans="1:16" ht="2.1" customHeight="1" x14ac:dyDescent="0.25"/>
    <row r="5" spans="1:16" x14ac:dyDescent="0.25">
      <c r="B5" t="s">
        <v>111</v>
      </c>
      <c r="C5">
        <f t="shared" ref="C5:N5" si="1">+C30</f>
        <v>519</v>
      </c>
      <c r="D5">
        <f t="shared" si="1"/>
        <v>584</v>
      </c>
      <c r="E5">
        <f t="shared" si="1"/>
        <v>719</v>
      </c>
      <c r="F5">
        <f t="shared" si="1"/>
        <v>790</v>
      </c>
      <c r="G5">
        <f t="shared" si="1"/>
        <v>876</v>
      </c>
      <c r="H5">
        <f t="shared" ca="1" si="1"/>
        <v>966</v>
      </c>
      <c r="I5">
        <f t="shared" ca="1" si="1"/>
        <v>1056</v>
      </c>
      <c r="J5">
        <f t="shared" ca="1" si="1"/>
        <v>1148</v>
      </c>
      <c r="K5">
        <f t="shared" ca="1" si="1"/>
        <v>1248</v>
      </c>
      <c r="L5">
        <f t="shared" ca="1" si="1"/>
        <v>1340</v>
      </c>
      <c r="M5">
        <f t="shared" ca="1" si="1"/>
        <v>1428</v>
      </c>
      <c r="N5">
        <f t="shared" ca="1" si="1"/>
        <v>1512</v>
      </c>
    </row>
    <row r="6" spans="1:16" x14ac:dyDescent="0.25">
      <c r="B6" s="7" t="s">
        <v>102</v>
      </c>
      <c r="C6" s="8"/>
      <c r="D6" s="8">
        <f t="shared" ref="D6:G6" si="2">+D5/C5-1</f>
        <v>0.12524084778420042</v>
      </c>
      <c r="E6" s="8">
        <f t="shared" si="2"/>
        <v>0.23116438356164393</v>
      </c>
      <c r="F6" s="8">
        <f t="shared" si="2"/>
        <v>9.8748261474269849E-2</v>
      </c>
      <c r="G6" s="8">
        <f t="shared" si="2"/>
        <v>0.1088607594936708</v>
      </c>
      <c r="H6" s="8">
        <f t="shared" ref="H6" ca="1" si="3">+H5/G5-1</f>
        <v>0.10273972602739723</v>
      </c>
      <c r="I6" s="8">
        <f t="shared" ref="I6" ca="1" si="4">+I5/H5-1</f>
        <v>9.3167701863354102E-2</v>
      </c>
      <c r="J6" s="8">
        <f t="shared" ref="J6" ca="1" si="5">+J5/I5-1</f>
        <v>8.7121212121212155E-2</v>
      </c>
      <c r="K6" s="8">
        <f t="shared" ref="K6" ca="1" si="6">+K5/J5-1</f>
        <v>8.710801393728218E-2</v>
      </c>
      <c r="L6" s="8">
        <f t="shared" ref="L6" ca="1" si="7">+L5/K5-1</f>
        <v>7.3717948717948678E-2</v>
      </c>
      <c r="M6" s="8">
        <f t="shared" ref="M6" ca="1" si="8">+M5/L5-1</f>
        <v>6.5671641791044788E-2</v>
      </c>
      <c r="N6" s="8">
        <f t="shared" ref="N6" ca="1" si="9">+N5/M5-1</f>
        <v>5.8823529411764719E-2</v>
      </c>
    </row>
    <row r="7" spans="1:16" x14ac:dyDescent="0.25">
      <c r="B7" t="s">
        <v>113</v>
      </c>
      <c r="C7" s="50">
        <f t="shared" ref="C7:G7" si="10">+C43</f>
        <v>1.0245487364620938</v>
      </c>
      <c r="D7" s="50">
        <f t="shared" si="10"/>
        <v>1.0396716826265391</v>
      </c>
      <c r="E7" s="50">
        <f t="shared" si="10"/>
        <v>1.2358845671267251</v>
      </c>
      <c r="F7" s="50">
        <f t="shared" si="10"/>
        <v>1.3762099125364431</v>
      </c>
      <c r="G7" s="50">
        <f t="shared" si="10"/>
        <v>1.4912526997840174</v>
      </c>
      <c r="H7" s="50">
        <f ca="1">+G7*(1+H8)</f>
        <v>1.6127897948164149</v>
      </c>
      <c r="I7" s="50">
        <f t="shared" ref="I7:N7" ca="1" si="11">+H7*(1+I8)</f>
        <v>1.7401397089896058</v>
      </c>
      <c r="J7" s="50">
        <f t="shared" ca="1" si="11"/>
        <v>1.8730863827564117</v>
      </c>
      <c r="K7" s="50">
        <f t="shared" ca="1" si="11"/>
        <v>2.0064969603682368</v>
      </c>
      <c r="L7" s="50">
        <f t="shared" ca="1" si="11"/>
        <v>2.1390260846005589</v>
      </c>
      <c r="M7" s="50">
        <f t="shared" ca="1" si="11"/>
        <v>2.2692392975006173</v>
      </c>
      <c r="N7" s="50">
        <f t="shared" ca="1" si="11"/>
        <v>2.3956359263714013</v>
      </c>
    </row>
    <row r="8" spans="1:16" x14ac:dyDescent="0.25">
      <c r="B8" s="7" t="s">
        <v>296</v>
      </c>
      <c r="C8" s="154"/>
      <c r="D8" s="154">
        <f t="shared" ref="D8:G8" si="12">+D7/C7-1</f>
        <v>1.4760592274670081E-2</v>
      </c>
      <c r="E8" s="154">
        <f t="shared" si="12"/>
        <v>0.18872581390741572</v>
      </c>
      <c r="F8" s="154">
        <f t="shared" si="12"/>
        <v>0.11354243684420839</v>
      </c>
      <c r="G8" s="154">
        <f t="shared" si="12"/>
        <v>8.3593924298614564E-2</v>
      </c>
      <c r="H8" s="449">
        <f ca="1">+(1+H9)*(1+H10)-1</f>
        <v>8.1500000000000128E-2</v>
      </c>
      <c r="I8" s="449">
        <f t="shared" ref="I8:N8" ca="1" si="13">+(1+I9)*(1+I10)-1</f>
        <v>7.8962499999999824E-2</v>
      </c>
      <c r="J8" s="449">
        <f t="shared" ca="1" si="13"/>
        <v>7.6400000000000023E-2</v>
      </c>
      <c r="K8" s="449">
        <f t="shared" ca="1" si="13"/>
        <v>7.1224999999999872E-2</v>
      </c>
      <c r="L8" s="449">
        <f t="shared" ca="1" si="13"/>
        <v>6.6049999999999942E-2</v>
      </c>
      <c r="M8" s="449">
        <f t="shared" ca="1" si="13"/>
        <v>6.087499999999979E-2</v>
      </c>
      <c r="N8" s="449">
        <f t="shared" ca="1" si="13"/>
        <v>5.5699999999999861E-2</v>
      </c>
    </row>
    <row r="9" spans="1:16" x14ac:dyDescent="0.25">
      <c r="B9" s="213" t="s">
        <v>295</v>
      </c>
      <c r="C9" s="154"/>
      <c r="D9" s="154"/>
      <c r="E9" s="154"/>
      <c r="F9" s="154"/>
      <c r="G9" s="154"/>
      <c r="H9" s="141">
        <f ca="1">+Assumptions!I47</f>
        <v>0.05</v>
      </c>
      <c r="I9" s="141">
        <f ca="1">+Assumptions!J47</f>
        <v>4.5000000000000005E-2</v>
      </c>
      <c r="J9" s="141">
        <f ca="1">+Assumptions!K47</f>
        <v>4.0000000000000008E-2</v>
      </c>
      <c r="K9" s="141">
        <f ca="1">+Assumptions!L47</f>
        <v>3.500000000000001E-2</v>
      </c>
      <c r="L9" s="141">
        <f ca="1">+Assumptions!M47</f>
        <v>3.0000000000000009E-2</v>
      </c>
      <c r="M9" s="141">
        <f ca="1">+Assumptions!N47</f>
        <v>2.5000000000000008E-2</v>
      </c>
      <c r="N9" s="141">
        <f ca="1">+Assumptions!O47</f>
        <v>2.0000000000000007E-2</v>
      </c>
      <c r="P9" t="s">
        <v>112</v>
      </c>
    </row>
    <row r="10" spans="1:16" x14ac:dyDescent="0.25">
      <c r="B10" s="214" t="s">
        <v>338</v>
      </c>
      <c r="C10" s="54"/>
      <c r="D10" s="54"/>
      <c r="E10" s="54"/>
      <c r="F10" s="54"/>
      <c r="G10" s="54"/>
      <c r="H10" s="79">
        <f ca="1">+Assumptions!I52</f>
        <v>0.03</v>
      </c>
      <c r="I10" s="79">
        <f ca="1">+Assumptions!J52</f>
        <v>3.2500000000000001E-2</v>
      </c>
      <c r="J10" s="79">
        <f ca="1">+Assumptions!K52</f>
        <v>3.5000000000000003E-2</v>
      </c>
      <c r="K10" s="79">
        <f ca="1">+Assumptions!L52</f>
        <v>3.5000000000000003E-2</v>
      </c>
      <c r="L10" s="79">
        <f ca="1">+Assumptions!M52</f>
        <v>3.5000000000000003E-2</v>
      </c>
      <c r="M10" s="79">
        <f ca="1">+Assumptions!N52</f>
        <v>3.5000000000000003E-2</v>
      </c>
      <c r="N10" s="79">
        <f ca="1">+Assumptions!O52</f>
        <v>3.5000000000000003E-2</v>
      </c>
      <c r="P10" t="s">
        <v>112</v>
      </c>
    </row>
    <row r="11" spans="1:16" ht="2.1" customHeight="1" x14ac:dyDescent="0.25"/>
    <row r="12" spans="1:16" x14ac:dyDescent="0.25">
      <c r="B12" s="5" t="s">
        <v>114</v>
      </c>
      <c r="C12" s="55">
        <f t="shared" ref="C12:N12" si="14">+C7*C5</f>
        <v>531.7407942238267</v>
      </c>
      <c r="D12" s="55">
        <f t="shared" si="14"/>
        <v>607.16826265389886</v>
      </c>
      <c r="E12" s="55">
        <f t="shared" si="14"/>
        <v>888.60100376411538</v>
      </c>
      <c r="F12" s="55">
        <f t="shared" si="14"/>
        <v>1087.20583090379</v>
      </c>
      <c r="G12" s="55">
        <f t="shared" si="14"/>
        <v>1306.3373650107992</v>
      </c>
      <c r="H12" s="55">
        <f t="shared" ca="1" si="14"/>
        <v>1557.9549417926569</v>
      </c>
      <c r="I12" s="55">
        <f t="shared" ca="1" si="14"/>
        <v>1837.5875326930236</v>
      </c>
      <c r="J12" s="55">
        <f t="shared" ca="1" si="14"/>
        <v>2150.3031674043605</v>
      </c>
      <c r="K12" s="55">
        <f t="shared" ca="1" si="14"/>
        <v>2504.1082065395594</v>
      </c>
      <c r="L12" s="55">
        <f t="shared" ca="1" si="14"/>
        <v>2866.2949533647488</v>
      </c>
      <c r="M12" s="55">
        <f t="shared" ca="1" si="14"/>
        <v>3240.4737168308816</v>
      </c>
      <c r="N12" s="55">
        <f t="shared" ca="1" si="14"/>
        <v>3622.2015206735587</v>
      </c>
    </row>
    <row r="14" spans="1:16" x14ac:dyDescent="0.25">
      <c r="B14" t="s">
        <v>115</v>
      </c>
      <c r="C14">
        <f t="shared" ref="C14:N14" si="15">+C31</f>
        <v>866</v>
      </c>
      <c r="D14">
        <f t="shared" si="15"/>
        <v>878</v>
      </c>
      <c r="E14">
        <f t="shared" si="15"/>
        <v>875</v>
      </c>
      <c r="F14">
        <f t="shared" si="15"/>
        <v>925</v>
      </c>
      <c r="G14">
        <f t="shared" si="15"/>
        <v>976</v>
      </c>
      <c r="H14">
        <f t="shared" ca="1" si="15"/>
        <v>1036</v>
      </c>
      <c r="I14">
        <f t="shared" ca="1" si="15"/>
        <v>1130</v>
      </c>
      <c r="J14">
        <f t="shared" ca="1" si="15"/>
        <v>1244</v>
      </c>
      <c r="K14">
        <f t="shared" ca="1" si="15"/>
        <v>1394</v>
      </c>
      <c r="L14">
        <f t="shared" ca="1" si="15"/>
        <v>1508</v>
      </c>
      <c r="M14">
        <f t="shared" ca="1" si="15"/>
        <v>1622</v>
      </c>
      <c r="N14">
        <f t="shared" ca="1" si="15"/>
        <v>1736</v>
      </c>
    </row>
    <row r="15" spans="1:16" x14ac:dyDescent="0.25">
      <c r="B15" s="7" t="s">
        <v>102</v>
      </c>
      <c r="C15" s="23"/>
      <c r="D15" s="23">
        <f t="shared" ref="D15:G15" si="16">+D14/C14-1</f>
        <v>1.3856812933025431E-2</v>
      </c>
      <c r="E15" s="23">
        <f t="shared" si="16"/>
        <v>-3.4168564920273869E-3</v>
      </c>
      <c r="F15" s="23">
        <f t="shared" si="16"/>
        <v>5.7142857142857162E-2</v>
      </c>
      <c r="G15" s="23">
        <f t="shared" si="16"/>
        <v>5.5135135135135238E-2</v>
      </c>
      <c r="H15" s="23">
        <f t="shared" ref="H15" ca="1" si="17">+H14/G14-1</f>
        <v>6.1475409836065475E-2</v>
      </c>
      <c r="I15" s="23">
        <f t="shared" ref="I15" ca="1" si="18">+I14/H14-1</f>
        <v>9.0733590733590663E-2</v>
      </c>
      <c r="J15" s="23">
        <f t="shared" ref="J15" ca="1" si="19">+J14/I14-1</f>
        <v>0.10088495575221246</v>
      </c>
      <c r="K15" s="23">
        <f t="shared" ref="K15" ca="1" si="20">+K14/J14-1</f>
        <v>0.12057877813504825</v>
      </c>
      <c r="L15" s="23">
        <f t="shared" ref="L15" ca="1" si="21">+L14/K14-1</f>
        <v>8.1779053084648501E-2</v>
      </c>
      <c r="M15" s="23">
        <f t="shared" ref="M15" ca="1" si="22">+M14/L14-1</f>
        <v>7.5596816976127412E-2</v>
      </c>
      <c r="N15" s="23">
        <f t="shared" ref="N15" ca="1" si="23">+N14/M14-1</f>
        <v>7.0283600493218357E-2</v>
      </c>
    </row>
    <row r="16" spans="1:16" x14ac:dyDescent="0.25">
      <c r="B16" t="s">
        <v>116</v>
      </c>
      <c r="C16" s="50">
        <f>+C47</f>
        <v>4.9653579676674366E-2</v>
      </c>
      <c r="D16" s="50">
        <f t="shared" ref="D16:E16" si="24">+D47</f>
        <v>4.5558086560364468E-2</v>
      </c>
      <c r="E16" s="50">
        <f t="shared" si="24"/>
        <v>5.7142857142857141E-2</v>
      </c>
      <c r="F16" s="50">
        <f>+E16*(1+F17)</f>
        <v>5.8857142857142858E-2</v>
      </c>
      <c r="G16" s="50">
        <f t="shared" ref="G16:N16" si="25">+F16*(1+G17)</f>
        <v>6.0622857142857145E-2</v>
      </c>
      <c r="H16" s="50">
        <f t="shared" ca="1" si="25"/>
        <v>6.2441542857142859E-2</v>
      </c>
      <c r="I16" s="50">
        <f t="shared" ca="1" si="25"/>
        <v>6.431478914285714E-2</v>
      </c>
      <c r="J16" s="50">
        <f t="shared" ca="1" si="25"/>
        <v>6.6244232817142853E-2</v>
      </c>
      <c r="K16" s="50">
        <f t="shared" ca="1" si="25"/>
        <v>6.8231559801657141E-2</v>
      </c>
      <c r="L16" s="50">
        <f t="shared" ca="1" si="25"/>
        <v>7.0278506595706863E-2</v>
      </c>
      <c r="M16" s="50">
        <f t="shared" ca="1" si="25"/>
        <v>7.2386861793578075E-2</v>
      </c>
      <c r="N16" s="50">
        <f t="shared" ca="1" si="25"/>
        <v>7.4558467647385412E-2</v>
      </c>
    </row>
    <row r="17" spans="1:16" x14ac:dyDescent="0.25">
      <c r="B17" s="14" t="s">
        <v>102</v>
      </c>
      <c r="C17" s="3"/>
      <c r="D17" s="307">
        <f>+D16/C16-1</f>
        <v>-8.2481326481962158E-2</v>
      </c>
      <c r="E17" s="53">
        <f>+E16/D16-1</f>
        <v>0.25428571428571423</v>
      </c>
      <c r="F17" s="81">
        <f>+Assumptions!G57</f>
        <v>0.03</v>
      </c>
      <c r="G17" s="81">
        <f>+Assumptions!H57</f>
        <v>0.03</v>
      </c>
      <c r="H17" s="81">
        <f ca="1">+Assumptions!I57</f>
        <v>0.03</v>
      </c>
      <c r="I17" s="81">
        <f ca="1">+Assumptions!J57</f>
        <v>0.03</v>
      </c>
      <c r="J17" s="81">
        <f ca="1">+Assumptions!K57</f>
        <v>0.03</v>
      </c>
      <c r="K17" s="81">
        <f ca="1">+Assumptions!L57</f>
        <v>0.03</v>
      </c>
      <c r="L17" s="81">
        <f ca="1">+Assumptions!M57</f>
        <v>0.03</v>
      </c>
      <c r="M17" s="81">
        <f ca="1">+Assumptions!N57</f>
        <v>0.03</v>
      </c>
      <c r="N17" s="81">
        <f ca="1">+Assumptions!O57</f>
        <v>0.03</v>
      </c>
      <c r="P17" t="s">
        <v>373</v>
      </c>
    </row>
    <row r="18" spans="1:16" ht="2.1" customHeight="1" x14ac:dyDescent="0.25"/>
    <row r="19" spans="1:16" x14ac:dyDescent="0.25">
      <c r="B19" s="5" t="s">
        <v>117</v>
      </c>
      <c r="C19" s="55">
        <f>+C16*C14</f>
        <v>43</v>
      </c>
      <c r="D19" s="55">
        <f t="shared" ref="D19:N19" si="26">+D16*D14</f>
        <v>40</v>
      </c>
      <c r="E19" s="55">
        <f t="shared" si="26"/>
        <v>50</v>
      </c>
      <c r="F19" s="55">
        <f t="shared" si="26"/>
        <v>54.442857142857143</v>
      </c>
      <c r="G19" s="55">
        <f t="shared" si="26"/>
        <v>59.167908571428576</v>
      </c>
      <c r="H19" s="55">
        <f t="shared" ca="1" si="26"/>
        <v>64.6894384</v>
      </c>
      <c r="I19" s="55">
        <f t="shared" ca="1" si="26"/>
        <v>72.675711731428564</v>
      </c>
      <c r="J19" s="55">
        <f t="shared" ca="1" si="26"/>
        <v>82.407825624525714</v>
      </c>
      <c r="K19" s="55">
        <f t="shared" ca="1" si="26"/>
        <v>95.114794363510057</v>
      </c>
      <c r="L19" s="55">
        <f t="shared" ca="1" si="26"/>
        <v>105.97998794632595</v>
      </c>
      <c r="M19" s="55">
        <f t="shared" ca="1" si="26"/>
        <v>117.41148982918364</v>
      </c>
      <c r="N19" s="55">
        <f t="shared" ca="1" si="26"/>
        <v>129.43349983586108</v>
      </c>
    </row>
    <row r="20" spans="1:16" ht="2.1" customHeight="1" x14ac:dyDescent="0.25"/>
    <row r="21" spans="1:16" ht="14.45" customHeight="1" x14ac:dyDescent="0.25">
      <c r="B21" t="s">
        <v>132</v>
      </c>
      <c r="C21" s="56">
        <f t="shared" ref="C21:N21" si="27">+SUM(C19,C12)</f>
        <v>574.7407942238267</v>
      </c>
      <c r="D21" s="56">
        <f t="shared" si="27"/>
        <v>647.16826265389886</v>
      </c>
      <c r="E21" s="56">
        <f t="shared" si="27"/>
        <v>938.60100376411538</v>
      </c>
      <c r="F21" s="56">
        <f t="shared" si="27"/>
        <v>1141.6486880466471</v>
      </c>
      <c r="G21" s="56">
        <f t="shared" si="27"/>
        <v>1365.5052735822278</v>
      </c>
      <c r="H21" s="56">
        <f t="shared" ca="1" si="27"/>
        <v>1622.6443801926569</v>
      </c>
      <c r="I21" s="56">
        <f t="shared" ca="1" si="27"/>
        <v>1910.2632444244521</v>
      </c>
      <c r="J21" s="56">
        <f t="shared" ca="1" si="27"/>
        <v>2232.7109930288862</v>
      </c>
      <c r="K21" s="56">
        <f t="shared" ca="1" si="27"/>
        <v>2599.2230009030695</v>
      </c>
      <c r="L21" s="56">
        <f t="shared" ca="1" si="27"/>
        <v>2972.2749413110746</v>
      </c>
      <c r="M21" s="56">
        <f t="shared" ca="1" si="27"/>
        <v>3357.8852066600653</v>
      </c>
      <c r="N21" s="56">
        <f t="shared" ca="1" si="27"/>
        <v>3751.6350205094195</v>
      </c>
    </row>
    <row r="22" spans="1:16" ht="14.45" customHeight="1" x14ac:dyDescent="0.25">
      <c r="B22" t="s">
        <v>12</v>
      </c>
      <c r="C22" s="18">
        <f t="shared" ref="C22:G22" si="28">+C34-C21</f>
        <v>247.2592057761733</v>
      </c>
      <c r="D22" s="18">
        <f t="shared" si="28"/>
        <v>235.83173734610114</v>
      </c>
      <c r="E22" s="18">
        <f t="shared" si="28"/>
        <v>282.39899623588462</v>
      </c>
      <c r="F22" s="18">
        <f t="shared" si="28"/>
        <v>94.451311953352842</v>
      </c>
      <c r="G22" s="18">
        <f t="shared" si="28"/>
        <v>77.994726417772199</v>
      </c>
      <c r="H22" s="33">
        <f ca="1">+Assumptions!I62</f>
        <v>81</v>
      </c>
      <c r="I22" s="33">
        <f ca="1">+Assumptions!J62</f>
        <v>73.636363636363626</v>
      </c>
      <c r="J22" s="33">
        <f ca="1">+Assumptions!K62</f>
        <v>66.942148760330568</v>
      </c>
      <c r="K22" s="33">
        <f ca="1">+Assumptions!L62</f>
        <v>60.856498873027782</v>
      </c>
      <c r="L22" s="33">
        <f ca="1">+Assumptions!M62</f>
        <v>55.324089884570704</v>
      </c>
      <c r="M22" s="33">
        <f ca="1">+Assumptions!N62</f>
        <v>50.294627167791546</v>
      </c>
      <c r="N22" s="33">
        <f ca="1">+Assumptions!O62</f>
        <v>45.722388334355948</v>
      </c>
      <c r="P22" t="s">
        <v>112</v>
      </c>
    </row>
    <row r="23" spans="1:16" ht="14.45" customHeight="1" x14ac:dyDescent="0.25">
      <c r="B23" s="34" t="s">
        <v>134</v>
      </c>
      <c r="C23" s="59">
        <f>+C22-C36</f>
        <v>-0.74079422382669691</v>
      </c>
      <c r="D23" s="59">
        <f t="shared" ref="D23:E23" si="29">+D22-D36</f>
        <v>-16.168262653898864</v>
      </c>
      <c r="E23" s="59">
        <f t="shared" si="29"/>
        <v>-26.601003764115376</v>
      </c>
      <c r="F23" s="59"/>
      <c r="G23" s="59"/>
      <c r="H23" s="57"/>
      <c r="I23" s="57"/>
      <c r="J23" s="57"/>
      <c r="K23" s="57"/>
      <c r="L23" s="57"/>
      <c r="M23" s="57"/>
      <c r="N23" s="57"/>
      <c r="O23" s="58"/>
      <c r="P23" t="s">
        <v>135</v>
      </c>
    </row>
    <row r="24" spans="1:16" ht="2.1" customHeight="1" x14ac:dyDescent="0.25">
      <c r="B24" s="60"/>
      <c r="C24" s="61"/>
      <c r="D24" s="61"/>
      <c r="E24" s="61"/>
      <c r="F24" s="61"/>
      <c r="G24" s="61"/>
      <c r="H24" s="62"/>
      <c r="I24" s="62"/>
      <c r="J24" s="62"/>
      <c r="K24" s="62"/>
      <c r="L24" s="62"/>
      <c r="M24" s="62"/>
      <c r="N24" s="62"/>
      <c r="O24" s="58"/>
    </row>
    <row r="25" spans="1:16" x14ac:dyDescent="0.25">
      <c r="B25" s="5" t="s">
        <v>118</v>
      </c>
      <c r="C25" s="55">
        <f t="shared" ref="C25:N25" si="30">+SUM(C21:C22)</f>
        <v>822</v>
      </c>
      <c r="D25" s="55">
        <f t="shared" si="30"/>
        <v>883</v>
      </c>
      <c r="E25" s="55">
        <f t="shared" si="30"/>
        <v>1221</v>
      </c>
      <c r="F25" s="55">
        <f t="shared" si="30"/>
        <v>1236.0999999999999</v>
      </c>
      <c r="G25" s="55">
        <f t="shared" si="30"/>
        <v>1443.5</v>
      </c>
      <c r="H25" s="55">
        <f ca="1">+SUM(H21:H22)</f>
        <v>1703.6443801926569</v>
      </c>
      <c r="I25" s="55">
        <f t="shared" ca="1" si="30"/>
        <v>1983.8996080608158</v>
      </c>
      <c r="J25" s="55">
        <f t="shared" ca="1" si="30"/>
        <v>2299.6531417892165</v>
      </c>
      <c r="K25" s="55">
        <f t="shared" ca="1" si="30"/>
        <v>2660.0794997760972</v>
      </c>
      <c r="L25" s="55">
        <f t="shared" ca="1" si="30"/>
        <v>3027.5990311956452</v>
      </c>
      <c r="M25" s="55">
        <f t="shared" ca="1" si="30"/>
        <v>3408.1798338278568</v>
      </c>
      <c r="N25" s="55">
        <f t="shared" ca="1" si="30"/>
        <v>3797.3574088437754</v>
      </c>
      <c r="P25" s="55"/>
    </row>
    <row r="26" spans="1:16" x14ac:dyDescent="0.25">
      <c r="B26" s="7" t="s">
        <v>102</v>
      </c>
      <c r="C26" s="8"/>
      <c r="D26" s="8">
        <f t="shared" ref="D26:N26" si="31">+D25/C25-1</f>
        <v>7.4209245742092422E-2</v>
      </c>
      <c r="E26" s="8">
        <f t="shared" si="31"/>
        <v>0.38278595696489237</v>
      </c>
      <c r="F26" s="8">
        <f t="shared" si="31"/>
        <v>1.2366912366912342E-2</v>
      </c>
      <c r="G26" s="8">
        <f t="shared" si="31"/>
        <v>0.16778577784968873</v>
      </c>
      <c r="H26" s="8">
        <f t="shared" ca="1" si="31"/>
        <v>0.1802177902269877</v>
      </c>
      <c r="I26" s="8">
        <f t="shared" ca="1" si="31"/>
        <v>0.16450336180868108</v>
      </c>
      <c r="J26" s="8">
        <f t="shared" ca="1" si="31"/>
        <v>0.15915802011626856</v>
      </c>
      <c r="K26" s="8">
        <f t="shared" ca="1" si="31"/>
        <v>0.15673074840602075</v>
      </c>
      <c r="L26" s="8">
        <f t="shared" ca="1" si="31"/>
        <v>0.13816110813623528</v>
      </c>
      <c r="M26" s="8">
        <f t="shared" ca="1" si="31"/>
        <v>0.12570383287575382</v>
      </c>
      <c r="N26" s="8">
        <f t="shared" ca="1" si="31"/>
        <v>0.11418927227757769</v>
      </c>
      <c r="O26" s="8"/>
      <c r="P26" s="55"/>
    </row>
    <row r="28" spans="1:16" x14ac:dyDescent="0.25">
      <c r="A28" t="s">
        <v>108</v>
      </c>
      <c r="B28" s="20" t="s">
        <v>107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6" ht="2.1" customHeight="1" x14ac:dyDescent="0.25">
      <c r="B29" s="5"/>
    </row>
    <row r="30" spans="1:16" x14ac:dyDescent="0.25">
      <c r="B30" t="s">
        <v>105</v>
      </c>
      <c r="C30" s="17">
        <f>+'Store Count Build'!D13</f>
        <v>519</v>
      </c>
      <c r="D30" s="17">
        <f>+'Store Count Build'!E13</f>
        <v>584</v>
      </c>
      <c r="E30" s="17">
        <f>+'Store Count Build'!F13</f>
        <v>719</v>
      </c>
      <c r="F30" s="17">
        <f>+'Store Count Build'!G13</f>
        <v>790</v>
      </c>
      <c r="G30" s="17">
        <f>+'Store Count Build'!H13</f>
        <v>876</v>
      </c>
      <c r="H30" s="17">
        <f ca="1">+'Store Count Build'!I13</f>
        <v>966</v>
      </c>
      <c r="I30" s="17">
        <f ca="1">+'Store Count Build'!J13</f>
        <v>1056</v>
      </c>
      <c r="J30" s="17">
        <f ca="1">+'Store Count Build'!K13</f>
        <v>1148</v>
      </c>
      <c r="K30" s="17">
        <f ca="1">+'Store Count Build'!L13</f>
        <v>1248</v>
      </c>
      <c r="L30" s="17">
        <f ca="1">+'Store Count Build'!M13</f>
        <v>1340</v>
      </c>
      <c r="M30" s="17">
        <f ca="1">+'Store Count Build'!N13</f>
        <v>1428</v>
      </c>
      <c r="N30" s="17">
        <f ca="1">+'Store Count Build'!O13</f>
        <v>1512</v>
      </c>
      <c r="O30" s="17"/>
      <c r="P30" t="s">
        <v>109</v>
      </c>
    </row>
    <row r="31" spans="1:16" x14ac:dyDescent="0.25">
      <c r="B31" t="s">
        <v>96</v>
      </c>
      <c r="C31" s="17">
        <f>+'Store Count Build'!D24</f>
        <v>866</v>
      </c>
      <c r="D31" s="17">
        <f>+'Store Count Build'!E24</f>
        <v>878</v>
      </c>
      <c r="E31" s="17">
        <f>+'Store Count Build'!F24</f>
        <v>875</v>
      </c>
      <c r="F31" s="17">
        <f>+'Store Count Build'!G24</f>
        <v>925</v>
      </c>
      <c r="G31" s="17">
        <f>+'Store Count Build'!H24</f>
        <v>976</v>
      </c>
      <c r="H31" s="17">
        <f ca="1">+'Store Count Build'!I24</f>
        <v>1036</v>
      </c>
      <c r="I31" s="17">
        <f ca="1">+'Store Count Build'!J24</f>
        <v>1130</v>
      </c>
      <c r="J31" s="17">
        <f ca="1">+'Store Count Build'!K24</f>
        <v>1244</v>
      </c>
      <c r="K31" s="17">
        <f ca="1">+'Store Count Build'!L24</f>
        <v>1394</v>
      </c>
      <c r="L31" s="17">
        <f ca="1">+'Store Count Build'!M24</f>
        <v>1508</v>
      </c>
      <c r="M31" s="17">
        <f ca="1">+'Store Count Build'!N24</f>
        <v>1622</v>
      </c>
      <c r="N31" s="17">
        <f ca="1">+'Store Count Build'!O24</f>
        <v>1736</v>
      </c>
      <c r="O31" s="17"/>
      <c r="P31" t="s">
        <v>109</v>
      </c>
    </row>
    <row r="32" spans="1:16" x14ac:dyDescent="0.25">
      <c r="B32" t="s">
        <v>106</v>
      </c>
      <c r="C32" s="17">
        <f>+'Store Count Build'!D28</f>
        <v>1385</v>
      </c>
      <c r="D32" s="17">
        <f>+'Store Count Build'!E28</f>
        <v>1462</v>
      </c>
      <c r="E32" s="17">
        <f>+'Store Count Build'!F28</f>
        <v>1594</v>
      </c>
      <c r="F32" s="17">
        <f>+'Store Count Build'!G28</f>
        <v>1715</v>
      </c>
      <c r="G32" s="17">
        <f>+'Store Count Build'!H28</f>
        <v>1852</v>
      </c>
      <c r="H32" s="17">
        <f ca="1">+'Store Count Build'!I28</f>
        <v>2002</v>
      </c>
      <c r="I32" s="17">
        <f ca="1">+'Store Count Build'!J28</f>
        <v>2186</v>
      </c>
      <c r="J32" s="17">
        <f ca="1">+'Store Count Build'!K28</f>
        <v>2392</v>
      </c>
      <c r="K32" s="17">
        <f ca="1">+'Store Count Build'!L28</f>
        <v>2642</v>
      </c>
      <c r="L32" s="17">
        <f ca="1">+'Store Count Build'!M28</f>
        <v>2848</v>
      </c>
      <c r="M32" s="17">
        <f ca="1">+'Store Count Build'!N28</f>
        <v>3050</v>
      </c>
      <c r="N32" s="17">
        <f ca="1">+'Store Count Build'!O28</f>
        <v>3248</v>
      </c>
      <c r="O32" s="17"/>
      <c r="P32" t="s">
        <v>109</v>
      </c>
    </row>
    <row r="33" spans="1:16" x14ac:dyDescent="0.25">
      <c r="B33" t="s">
        <v>110</v>
      </c>
      <c r="C33" s="21">
        <v>1419</v>
      </c>
      <c r="D33" s="21">
        <v>1520</v>
      </c>
      <c r="E33" s="21">
        <v>1970</v>
      </c>
      <c r="F33" s="21">
        <v>2360.1999999999998</v>
      </c>
      <c r="G33" s="21">
        <v>2761.8</v>
      </c>
      <c r="H33" s="18"/>
      <c r="I33" s="18"/>
      <c r="J33" s="18"/>
      <c r="K33" s="18"/>
      <c r="L33" s="18"/>
      <c r="M33" s="18"/>
      <c r="N33" s="18"/>
      <c r="O33" s="18"/>
      <c r="P33" t="s">
        <v>361</v>
      </c>
    </row>
    <row r="34" spans="1:16" x14ac:dyDescent="0.25">
      <c r="B34" s="22" t="s">
        <v>119</v>
      </c>
      <c r="C34" s="21">
        <v>822</v>
      </c>
      <c r="D34" s="21">
        <v>883</v>
      </c>
      <c r="E34" s="21">
        <v>1221</v>
      </c>
      <c r="F34" s="21">
        <v>1236.0999999999999</v>
      </c>
      <c r="G34" s="21">
        <v>1443.5</v>
      </c>
      <c r="H34" s="21"/>
      <c r="I34" s="21"/>
      <c r="J34" s="21"/>
      <c r="K34" s="102"/>
      <c r="L34" s="21"/>
      <c r="M34" s="21"/>
      <c r="N34" s="21"/>
      <c r="O34" s="16"/>
      <c r="P34" t="s">
        <v>361</v>
      </c>
    </row>
    <row r="35" spans="1:16" x14ac:dyDescent="0.25">
      <c r="B35" t="s">
        <v>125</v>
      </c>
      <c r="C35" s="21">
        <v>43</v>
      </c>
      <c r="D35" s="21">
        <v>40</v>
      </c>
      <c r="E35" s="21">
        <v>50</v>
      </c>
      <c r="F35" s="21"/>
      <c r="G35" s="21"/>
      <c r="H35" s="21"/>
      <c r="I35" s="21"/>
      <c r="J35" s="21"/>
      <c r="K35" s="21"/>
      <c r="L35" s="21"/>
      <c r="M35" s="21"/>
      <c r="N35" s="21"/>
      <c r="P35" t="s">
        <v>372</v>
      </c>
    </row>
    <row r="36" spans="1:16" x14ac:dyDescent="0.25">
      <c r="B36" t="s">
        <v>126</v>
      </c>
      <c r="C36" s="21">
        <v>248</v>
      </c>
      <c r="D36" s="21">
        <v>252</v>
      </c>
      <c r="E36" s="21">
        <v>309</v>
      </c>
      <c r="F36" s="21"/>
      <c r="G36" s="21"/>
      <c r="H36" s="21"/>
      <c r="I36" s="21"/>
      <c r="J36" s="21"/>
      <c r="K36" s="21"/>
      <c r="L36" s="21"/>
      <c r="M36" s="21"/>
      <c r="N36" s="21"/>
      <c r="P36" t="s">
        <v>372</v>
      </c>
    </row>
    <row r="37" spans="1:16" x14ac:dyDescent="0.25"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1:16" x14ac:dyDescent="0.25">
      <c r="A38" t="s">
        <v>108</v>
      </c>
      <c r="B38" s="25" t="s">
        <v>120</v>
      </c>
      <c r="C38" s="27"/>
      <c r="D38" s="27"/>
      <c r="E38" s="27"/>
      <c r="F38" s="27"/>
      <c r="G38" s="27"/>
      <c r="H38" s="26"/>
      <c r="I38" s="26"/>
      <c r="J38" s="26"/>
      <c r="K38" s="26"/>
      <c r="L38" s="26"/>
      <c r="M38" s="26"/>
      <c r="N38" s="26"/>
      <c r="O38" s="15"/>
    </row>
    <row r="39" spans="1:16" ht="2.1" customHeight="1" x14ac:dyDescent="0.25"/>
    <row r="40" spans="1:16" ht="14.45" customHeight="1" x14ac:dyDescent="0.25">
      <c r="B40" s="35" t="s">
        <v>128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7"/>
    </row>
    <row r="41" spans="1:16" x14ac:dyDescent="0.25">
      <c r="B41" s="38" t="s">
        <v>123</v>
      </c>
      <c r="C41" s="40">
        <f>+C34-SUM(C35:C36)</f>
        <v>531</v>
      </c>
      <c r="D41" s="40">
        <f t="shared" ref="D41:E41" si="32">+D34-SUM(D35:D36)</f>
        <v>591</v>
      </c>
      <c r="E41" s="40">
        <f t="shared" si="32"/>
        <v>862</v>
      </c>
      <c r="F41" s="39"/>
      <c r="G41" s="39"/>
      <c r="H41" s="39"/>
      <c r="I41" s="39"/>
      <c r="J41" s="39"/>
      <c r="K41" s="39"/>
      <c r="L41" s="39"/>
      <c r="M41" s="39"/>
      <c r="N41" s="41"/>
    </row>
    <row r="42" spans="1:16" x14ac:dyDescent="0.25">
      <c r="B42" s="38" t="s">
        <v>122</v>
      </c>
      <c r="C42" s="51">
        <f>+C41/C30</f>
        <v>1.023121387283237</v>
      </c>
      <c r="D42" s="51">
        <f t="shared" ref="D42:E42" si="33">+D41/D30</f>
        <v>1.0119863013698631</v>
      </c>
      <c r="E42" s="51">
        <f t="shared" si="33"/>
        <v>1.1988873435326843</v>
      </c>
      <c r="F42" s="51"/>
      <c r="G42" s="51"/>
      <c r="H42" s="39"/>
      <c r="I42" s="39"/>
      <c r="J42" s="39"/>
      <c r="K42" s="39"/>
      <c r="L42" s="39"/>
      <c r="M42" s="39"/>
      <c r="N42" s="41"/>
    </row>
    <row r="43" spans="1:16" x14ac:dyDescent="0.25">
      <c r="B43" s="38" t="s">
        <v>124</v>
      </c>
      <c r="C43" s="51">
        <f t="shared" ref="C43:G43" si="34">+C33/C32</f>
        <v>1.0245487364620938</v>
      </c>
      <c r="D43" s="51">
        <f t="shared" si="34"/>
        <v>1.0396716826265391</v>
      </c>
      <c r="E43" s="51">
        <f t="shared" si="34"/>
        <v>1.2358845671267251</v>
      </c>
      <c r="F43" s="51">
        <f t="shared" si="34"/>
        <v>1.3762099125364431</v>
      </c>
      <c r="G43" s="51">
        <f t="shared" si="34"/>
        <v>1.4912526997840174</v>
      </c>
      <c r="H43" s="39"/>
      <c r="I43" s="39"/>
      <c r="J43" s="39"/>
      <c r="K43" s="39"/>
      <c r="L43" s="39"/>
      <c r="M43" s="39"/>
      <c r="N43" s="41"/>
    </row>
    <row r="44" spans="1:16" ht="9.9499999999999993" customHeight="1" x14ac:dyDescent="0.25">
      <c r="B44" s="42" t="s">
        <v>127</v>
      </c>
      <c r="C44" s="44">
        <f>+C42/C43-1</f>
        <v>-1.3931491280596564E-3</v>
      </c>
      <c r="D44" s="44">
        <f t="shared" ref="D44:E44" si="35">+D42/D43-1</f>
        <v>-2.6628965392934356E-2</v>
      </c>
      <c r="E44" s="44">
        <f t="shared" si="35"/>
        <v>-2.9935824573046221E-2</v>
      </c>
      <c r="F44" s="43"/>
      <c r="G44" s="43"/>
      <c r="H44" s="43"/>
      <c r="I44" s="43"/>
      <c r="J44" s="43"/>
      <c r="K44" s="43"/>
      <c r="L44" s="43"/>
      <c r="M44" s="43"/>
      <c r="N44" s="45"/>
      <c r="P44" s="72" t="s">
        <v>130</v>
      </c>
    </row>
    <row r="45" spans="1:16" ht="2.1" customHeight="1" x14ac:dyDescent="0.25"/>
    <row r="46" spans="1:16" x14ac:dyDescent="0.25">
      <c r="B46" s="35" t="s">
        <v>129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7"/>
    </row>
    <row r="47" spans="1:16" x14ac:dyDescent="0.25">
      <c r="B47" s="47" t="s">
        <v>131</v>
      </c>
      <c r="C47" s="52">
        <f>+C35/C31</f>
        <v>4.9653579676674366E-2</v>
      </c>
      <c r="D47" s="52">
        <f t="shared" ref="D47:E47" si="36">+D35/D31</f>
        <v>4.5558086560364468E-2</v>
      </c>
      <c r="E47" s="52">
        <f t="shared" si="36"/>
        <v>5.7142857142857141E-2</v>
      </c>
      <c r="F47" s="46"/>
      <c r="G47" s="46"/>
      <c r="H47" s="48"/>
      <c r="I47" s="48"/>
      <c r="J47" s="48"/>
      <c r="K47" s="48"/>
      <c r="L47" s="48"/>
      <c r="M47" s="48"/>
      <c r="N47" s="49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002E6-4999-4E07-AC03-48CD73A4F0C3}">
  <dimension ref="A1:Q30"/>
  <sheetViews>
    <sheetView showGridLines="0" workbookViewId="0">
      <selection activeCell="K21" sqref="K21"/>
    </sheetView>
  </sheetViews>
  <sheetFormatPr defaultColWidth="8.85546875" defaultRowHeight="15" x14ac:dyDescent="0.25"/>
  <cols>
    <col min="1" max="1" width="2.5703125" customWidth="1"/>
    <col min="2" max="2" width="48.42578125" bestFit="1" customWidth="1"/>
    <col min="16" max="16" width="0.42578125" customWidth="1"/>
  </cols>
  <sheetData>
    <row r="1" spans="1:17" ht="2.1" customHeight="1" x14ac:dyDescent="0.25"/>
    <row r="2" spans="1:17" x14ac:dyDescent="0.25">
      <c r="A2" t="s">
        <v>108</v>
      </c>
      <c r="B2" t="s">
        <v>301</v>
      </c>
    </row>
    <row r="3" spans="1:17" x14ac:dyDescent="0.25">
      <c r="B3" s="3"/>
      <c r="C3" s="6">
        <v>2018</v>
      </c>
      <c r="D3" s="6">
        <f>+C3+1</f>
        <v>2019</v>
      </c>
      <c r="E3" s="6">
        <f t="shared" ref="E3:O3" si="0">+D3+1</f>
        <v>2020</v>
      </c>
      <c r="F3" s="6">
        <f t="shared" si="0"/>
        <v>2021</v>
      </c>
      <c r="G3" s="6">
        <f t="shared" si="0"/>
        <v>2022</v>
      </c>
      <c r="H3" s="6">
        <f t="shared" si="0"/>
        <v>2023</v>
      </c>
      <c r="I3" s="6">
        <f t="shared" si="0"/>
        <v>2024</v>
      </c>
      <c r="J3" s="6">
        <f t="shared" si="0"/>
        <v>2025</v>
      </c>
      <c r="K3" s="6">
        <f t="shared" si="0"/>
        <v>2026</v>
      </c>
      <c r="L3" s="6">
        <f t="shared" si="0"/>
        <v>2027</v>
      </c>
      <c r="M3" s="6">
        <f t="shared" si="0"/>
        <v>2028</v>
      </c>
      <c r="N3" s="6">
        <f t="shared" si="0"/>
        <v>2029</v>
      </c>
      <c r="O3" s="6">
        <f t="shared" si="0"/>
        <v>2030</v>
      </c>
      <c r="P3" s="4"/>
    </row>
    <row r="4" spans="1:17" ht="5.0999999999999996" customHeight="1" x14ac:dyDescent="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14.45" customHeight="1" x14ac:dyDescent="0.25">
      <c r="B5" s="5" t="s">
        <v>95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7" x14ac:dyDescent="0.25">
      <c r="B6" t="s">
        <v>90</v>
      </c>
      <c r="C6" s="10">
        <v>384</v>
      </c>
      <c r="D6" s="11">
        <f>+C13</f>
        <v>462</v>
      </c>
      <c r="E6" s="11">
        <f t="shared" ref="E6:H6" si="1">+D13</f>
        <v>519</v>
      </c>
      <c r="F6" s="11">
        <f t="shared" si="1"/>
        <v>584</v>
      </c>
      <c r="G6" s="11">
        <f t="shared" si="1"/>
        <v>719</v>
      </c>
      <c r="H6" s="11">
        <f t="shared" si="1"/>
        <v>790</v>
      </c>
      <c r="I6" s="11">
        <f t="shared" ref="I6" si="2">+H13</f>
        <v>876</v>
      </c>
      <c r="J6" s="11">
        <f t="shared" ref="J6" ca="1" si="3">+I13</f>
        <v>966</v>
      </c>
      <c r="K6" s="11">
        <f t="shared" ref="K6" ca="1" si="4">+J13</f>
        <v>1056</v>
      </c>
      <c r="L6" s="11">
        <f t="shared" ref="L6" ca="1" si="5">+K13</f>
        <v>1148</v>
      </c>
      <c r="M6" s="11">
        <f t="shared" ref="M6" ca="1" si="6">+L13</f>
        <v>1248</v>
      </c>
      <c r="N6" s="11">
        <f t="shared" ref="N6" ca="1" si="7">+M13</f>
        <v>1340</v>
      </c>
      <c r="O6" s="11">
        <f t="shared" ref="O6" ca="1" si="8">+N13</f>
        <v>1428</v>
      </c>
      <c r="P6" s="11"/>
    </row>
    <row r="7" spans="1:17" x14ac:dyDescent="0.25">
      <c r="B7" t="s">
        <v>91</v>
      </c>
      <c r="C7" s="10">
        <v>17</v>
      </c>
      <c r="D7" s="10">
        <v>28</v>
      </c>
      <c r="E7" s="10">
        <v>36</v>
      </c>
      <c r="F7" s="10">
        <v>30</v>
      </c>
      <c r="G7" s="10">
        <v>34</v>
      </c>
      <c r="H7" s="69"/>
      <c r="I7" s="76">
        <f ca="1">+Assumptions!I9</f>
        <v>37</v>
      </c>
      <c r="J7" s="76">
        <f ca="1">+Assumptions!J9</f>
        <v>37</v>
      </c>
      <c r="K7" s="76">
        <f ca="1">+Assumptions!K9</f>
        <v>38</v>
      </c>
      <c r="L7" s="76">
        <f ca="1">+Assumptions!L9</f>
        <v>42</v>
      </c>
      <c r="M7" s="76">
        <f ca="1">+Assumptions!M9</f>
        <v>38</v>
      </c>
      <c r="N7" s="76">
        <f ca="1">+Assumptions!N9</f>
        <v>36</v>
      </c>
      <c r="O7" s="76">
        <f ca="1">+Assumptions!O9</f>
        <v>34</v>
      </c>
      <c r="P7" s="76"/>
      <c r="Q7" t="s">
        <v>112</v>
      </c>
    </row>
    <row r="8" spans="1:17" x14ac:dyDescent="0.25">
      <c r="B8" t="s">
        <v>92</v>
      </c>
      <c r="C8" s="10">
        <v>3</v>
      </c>
      <c r="D8" s="10">
        <v>24</v>
      </c>
      <c r="E8" s="10">
        <v>12</v>
      </c>
      <c r="F8" s="10">
        <v>57</v>
      </c>
      <c r="G8" s="10">
        <v>33</v>
      </c>
      <c r="H8" s="11"/>
      <c r="I8" s="76">
        <f ca="1">+Assumptions!I14</f>
        <v>37</v>
      </c>
      <c r="J8" s="76">
        <f ca="1">+Assumptions!J14</f>
        <v>37</v>
      </c>
      <c r="K8" s="76">
        <f ca="1">+Assumptions!K14</f>
        <v>38</v>
      </c>
      <c r="L8" s="76">
        <f ca="1">+Assumptions!L14</f>
        <v>42</v>
      </c>
      <c r="M8" s="76">
        <f ca="1">+Assumptions!M14</f>
        <v>38</v>
      </c>
      <c r="N8" s="76">
        <f ca="1">+Assumptions!N14</f>
        <v>36</v>
      </c>
      <c r="O8" s="76">
        <f ca="1">+Assumptions!O14</f>
        <v>34</v>
      </c>
      <c r="P8" s="76"/>
      <c r="Q8" t="s">
        <v>112</v>
      </c>
    </row>
    <row r="9" spans="1:17" x14ac:dyDescent="0.25">
      <c r="B9" t="s">
        <v>93</v>
      </c>
      <c r="C9" s="10">
        <v>58</v>
      </c>
      <c r="D9" s="10">
        <v>5</v>
      </c>
      <c r="E9" s="10">
        <v>17</v>
      </c>
      <c r="F9" s="10">
        <v>50</v>
      </c>
      <c r="G9" s="10">
        <v>4</v>
      </c>
      <c r="H9" s="11"/>
      <c r="I9" s="76">
        <f ca="1">+Assumptions!I19</f>
        <v>16</v>
      </c>
      <c r="J9" s="76">
        <f ca="1">+Assumptions!J19</f>
        <v>16</v>
      </c>
      <c r="K9" s="76">
        <f ca="1">+Assumptions!K19</f>
        <v>16</v>
      </c>
      <c r="L9" s="76">
        <f ca="1">+Assumptions!L19</f>
        <v>16</v>
      </c>
      <c r="M9" s="76">
        <f ca="1">+Assumptions!M19</f>
        <v>16</v>
      </c>
      <c r="N9" s="76">
        <f ca="1">+Assumptions!N19</f>
        <v>16</v>
      </c>
      <c r="O9" s="76">
        <f ca="1">+Assumptions!O19</f>
        <v>16</v>
      </c>
      <c r="P9" s="76"/>
      <c r="Q9" t="s">
        <v>112</v>
      </c>
    </row>
    <row r="10" spans="1:17" x14ac:dyDescent="0.25">
      <c r="B10" t="s">
        <v>94</v>
      </c>
      <c r="C10" s="10">
        <v>0</v>
      </c>
      <c r="D10" s="10">
        <v>0</v>
      </c>
      <c r="E10" s="10">
        <v>0</v>
      </c>
      <c r="F10" s="10">
        <v>-2</v>
      </c>
      <c r="G10" s="10">
        <v>0</v>
      </c>
      <c r="H10" s="11"/>
      <c r="I10" s="76">
        <f ca="1">+Assumptions!I24</f>
        <v>0</v>
      </c>
      <c r="J10" s="76">
        <f ca="1">+Assumptions!J24</f>
        <v>0</v>
      </c>
      <c r="K10" s="76">
        <f ca="1">+Assumptions!K24</f>
        <v>0</v>
      </c>
      <c r="L10" s="76">
        <f ca="1">+Assumptions!L24</f>
        <v>0</v>
      </c>
      <c r="M10" s="76">
        <f ca="1">+Assumptions!M24</f>
        <v>0</v>
      </c>
      <c r="N10" s="76">
        <f ca="1">+Assumptions!N24</f>
        <v>0</v>
      </c>
      <c r="O10" s="76">
        <f ca="1">+Assumptions!O24</f>
        <v>0</v>
      </c>
      <c r="P10" s="76"/>
      <c r="Q10" t="s">
        <v>112</v>
      </c>
    </row>
    <row r="11" spans="1:17" x14ac:dyDescent="0.25">
      <c r="B11" s="14" t="s">
        <v>104</v>
      </c>
      <c r="C11" s="3"/>
      <c r="D11" s="3"/>
      <c r="E11" s="3"/>
      <c r="F11" s="3"/>
      <c r="G11" s="3"/>
      <c r="H11" s="12">
        <v>86</v>
      </c>
      <c r="I11" s="3"/>
      <c r="J11" s="3"/>
      <c r="K11" s="3"/>
      <c r="L11" s="3"/>
      <c r="M11" s="3"/>
      <c r="N11" s="3"/>
      <c r="O11" s="3"/>
    </row>
    <row r="12" spans="1:17" ht="5.0999999999999996" customHeight="1" x14ac:dyDescent="0.25">
      <c r="C12" s="11"/>
      <c r="D12" s="11"/>
      <c r="E12" s="11"/>
      <c r="F12" s="11"/>
      <c r="G12" s="11"/>
      <c r="H12" s="11"/>
    </row>
    <row r="13" spans="1:17" x14ac:dyDescent="0.25">
      <c r="B13" s="5" t="s">
        <v>99</v>
      </c>
      <c r="C13" s="13">
        <f>+SUM(C6:C10)</f>
        <v>462</v>
      </c>
      <c r="D13" s="13">
        <f>+SUM(D6:D10)</f>
        <v>519</v>
      </c>
      <c r="E13" s="13">
        <f>+SUM(E6:E10)</f>
        <v>584</v>
      </c>
      <c r="F13" s="13">
        <f>+SUM(F6:F10)</f>
        <v>719</v>
      </c>
      <c r="G13" s="13">
        <f>+SUM(G6:G10)</f>
        <v>790</v>
      </c>
      <c r="H13" s="13">
        <f>+H6+H11</f>
        <v>876</v>
      </c>
      <c r="I13" s="13">
        <f t="shared" ref="I13:O13" ca="1" si="9">+SUM(I6:I11)</f>
        <v>966</v>
      </c>
      <c r="J13" s="13">
        <f t="shared" ca="1" si="9"/>
        <v>1056</v>
      </c>
      <c r="K13" s="13">
        <f t="shared" ca="1" si="9"/>
        <v>1148</v>
      </c>
      <c r="L13" s="13">
        <f t="shared" ca="1" si="9"/>
        <v>1248</v>
      </c>
      <c r="M13" s="13">
        <f t="shared" ca="1" si="9"/>
        <v>1340</v>
      </c>
      <c r="N13" s="13">
        <f t="shared" ca="1" si="9"/>
        <v>1428</v>
      </c>
      <c r="O13" s="13">
        <f t="shared" ca="1" si="9"/>
        <v>1512</v>
      </c>
      <c r="P13" s="13"/>
    </row>
    <row r="14" spans="1:17" x14ac:dyDescent="0.25">
      <c r="B14" t="s">
        <v>322</v>
      </c>
      <c r="C14" s="11"/>
      <c r="D14" s="11">
        <f>+D13-C13</f>
        <v>57</v>
      </c>
      <c r="E14" s="11">
        <f t="shared" ref="E14:O14" si="10">+E13-D13</f>
        <v>65</v>
      </c>
      <c r="F14" s="11">
        <f t="shared" si="10"/>
        <v>135</v>
      </c>
      <c r="G14" s="11">
        <f t="shared" si="10"/>
        <v>71</v>
      </c>
      <c r="H14" s="11">
        <f t="shared" si="10"/>
        <v>86</v>
      </c>
      <c r="I14" s="11">
        <f t="shared" ca="1" si="10"/>
        <v>90</v>
      </c>
      <c r="J14" s="11">
        <f t="shared" ca="1" si="10"/>
        <v>90</v>
      </c>
      <c r="K14" s="11">
        <f t="shared" ca="1" si="10"/>
        <v>92</v>
      </c>
      <c r="L14" s="11">
        <f t="shared" ca="1" si="10"/>
        <v>100</v>
      </c>
      <c r="M14" s="11">
        <f t="shared" ca="1" si="10"/>
        <v>92</v>
      </c>
      <c r="N14" s="11">
        <f t="shared" ca="1" si="10"/>
        <v>88</v>
      </c>
      <c r="O14" s="11">
        <f t="shared" ca="1" si="10"/>
        <v>84</v>
      </c>
    </row>
    <row r="15" spans="1:17" x14ac:dyDescent="0.25">
      <c r="C15" s="11"/>
      <c r="D15" s="11"/>
      <c r="E15" s="11"/>
      <c r="F15" s="11"/>
      <c r="G15" s="11"/>
      <c r="H15" s="11"/>
    </row>
    <row r="16" spans="1:17" x14ac:dyDescent="0.25">
      <c r="B16" s="5" t="s">
        <v>96</v>
      </c>
      <c r="C16" s="11"/>
      <c r="D16" s="11"/>
      <c r="E16" s="11"/>
      <c r="F16" s="11"/>
      <c r="G16" s="11"/>
      <c r="H16" s="11"/>
    </row>
    <row r="17" spans="2:17" x14ac:dyDescent="0.25">
      <c r="B17" t="s">
        <v>97</v>
      </c>
      <c r="C17" s="10">
        <v>743</v>
      </c>
      <c r="D17" s="11">
        <f>+C24</f>
        <v>780</v>
      </c>
      <c r="E17" s="11">
        <f t="shared" ref="E17:H17" si="11">+D24</f>
        <v>866</v>
      </c>
      <c r="F17" s="11">
        <f t="shared" si="11"/>
        <v>878</v>
      </c>
      <c r="G17" s="11">
        <f t="shared" si="11"/>
        <v>875</v>
      </c>
      <c r="H17" s="11">
        <f t="shared" si="11"/>
        <v>925</v>
      </c>
      <c r="I17" s="11">
        <f t="shared" ref="I17" si="12">+H24</f>
        <v>976</v>
      </c>
      <c r="J17" s="11">
        <f t="shared" ref="J17" ca="1" si="13">+I24</f>
        <v>1036</v>
      </c>
      <c r="K17" s="11">
        <f t="shared" ref="K17" ca="1" si="14">+J24</f>
        <v>1130</v>
      </c>
      <c r="L17" s="11">
        <f t="shared" ref="L17" ca="1" si="15">+K24</f>
        <v>1244</v>
      </c>
      <c r="M17" s="11">
        <f t="shared" ref="M17" ca="1" si="16">+L24</f>
        <v>1394</v>
      </c>
      <c r="N17" s="11">
        <f t="shared" ref="N17" ca="1" si="17">+M24</f>
        <v>1508</v>
      </c>
      <c r="O17" s="11">
        <f t="shared" ref="O17" ca="1" si="18">+N24</f>
        <v>1622</v>
      </c>
      <c r="P17" s="11"/>
    </row>
    <row r="18" spans="2:17" x14ac:dyDescent="0.25">
      <c r="B18" t="s">
        <v>91</v>
      </c>
      <c r="C18" s="10">
        <v>28</v>
      </c>
      <c r="D18" s="10">
        <v>65</v>
      </c>
      <c r="E18" s="10">
        <v>36</v>
      </c>
      <c r="F18" s="10">
        <v>39</v>
      </c>
      <c r="G18" s="10">
        <v>60</v>
      </c>
      <c r="H18" s="10"/>
      <c r="I18" s="76">
        <f ca="1">+Assumptions!I30</f>
        <v>38</v>
      </c>
      <c r="J18" s="76">
        <f ca="1">+Assumptions!J30</f>
        <v>55</v>
      </c>
      <c r="K18" s="76">
        <f ca="1">+Assumptions!K30</f>
        <v>65</v>
      </c>
      <c r="L18" s="76">
        <f ca="1">+Assumptions!L30</f>
        <v>83</v>
      </c>
      <c r="M18" s="76">
        <f ca="1">+Assumptions!M30</f>
        <v>65</v>
      </c>
      <c r="N18" s="76">
        <f ca="1">+Assumptions!N30</f>
        <v>65</v>
      </c>
      <c r="O18" s="76">
        <f ca="1">+Assumptions!O30</f>
        <v>65</v>
      </c>
      <c r="P18" s="76"/>
      <c r="Q18" t="s">
        <v>112</v>
      </c>
    </row>
    <row r="19" spans="2:17" x14ac:dyDescent="0.25">
      <c r="B19" t="s">
        <v>98</v>
      </c>
      <c r="C19" s="10">
        <v>73</v>
      </c>
      <c r="D19" s="10">
        <v>31</v>
      </c>
      <c r="E19" s="10">
        <v>0</v>
      </c>
      <c r="F19" s="10">
        <v>12</v>
      </c>
      <c r="G19" s="10">
        <v>0</v>
      </c>
      <c r="H19" s="10"/>
      <c r="I19" s="76">
        <f ca="1">+Assumptions!I35</f>
        <v>38</v>
      </c>
      <c r="J19" s="76">
        <f ca="1">+Assumptions!J35</f>
        <v>55</v>
      </c>
      <c r="K19" s="76">
        <f ca="1">+Assumptions!K35</f>
        <v>65</v>
      </c>
      <c r="L19" s="76">
        <f ca="1">+Assumptions!L35</f>
        <v>83</v>
      </c>
      <c r="M19" s="76">
        <f ca="1">+Assumptions!M35</f>
        <v>65</v>
      </c>
      <c r="N19" s="76">
        <f ca="1">+Assumptions!N35</f>
        <v>65</v>
      </c>
      <c r="O19" s="76">
        <f ca="1">+Assumptions!O35</f>
        <v>65</v>
      </c>
      <c r="P19" s="76"/>
      <c r="Q19" t="s">
        <v>112</v>
      </c>
    </row>
    <row r="20" spans="2:17" x14ac:dyDescent="0.25">
      <c r="B20" t="s">
        <v>93</v>
      </c>
      <c r="C20" s="11">
        <f>-C9</f>
        <v>-58</v>
      </c>
      <c r="D20" s="11">
        <f t="shared" ref="D20:O20" si="19">-D9</f>
        <v>-5</v>
      </c>
      <c r="E20" s="11">
        <f t="shared" si="19"/>
        <v>-17</v>
      </c>
      <c r="F20" s="11">
        <f t="shared" si="19"/>
        <v>-50</v>
      </c>
      <c r="G20" s="11">
        <f t="shared" si="19"/>
        <v>-4</v>
      </c>
      <c r="H20" s="11"/>
      <c r="I20" s="11">
        <f t="shared" ca="1" si="19"/>
        <v>-16</v>
      </c>
      <c r="J20" s="11">
        <f t="shared" ca="1" si="19"/>
        <v>-16</v>
      </c>
      <c r="K20" s="11">
        <f t="shared" ca="1" si="19"/>
        <v>-16</v>
      </c>
      <c r="L20" s="11">
        <f t="shared" ca="1" si="19"/>
        <v>-16</v>
      </c>
      <c r="M20" s="11">
        <f t="shared" ca="1" si="19"/>
        <v>-16</v>
      </c>
      <c r="N20" s="11">
        <f t="shared" ca="1" si="19"/>
        <v>-16</v>
      </c>
      <c r="O20" s="11">
        <f t="shared" ca="1" si="19"/>
        <v>-16</v>
      </c>
      <c r="P20" s="11"/>
      <c r="Q20" t="s">
        <v>151</v>
      </c>
    </row>
    <row r="21" spans="2:17" x14ac:dyDescent="0.25">
      <c r="B21" t="s">
        <v>94</v>
      </c>
      <c r="C21" s="10">
        <v>-6</v>
      </c>
      <c r="D21" s="10">
        <v>-5</v>
      </c>
      <c r="E21" s="10">
        <v>-7</v>
      </c>
      <c r="F21" s="10">
        <v>-4</v>
      </c>
      <c r="G21" s="10">
        <v>-6</v>
      </c>
      <c r="H21" s="10"/>
      <c r="I21" s="76">
        <f ca="1">+Assumptions!I40</f>
        <v>0</v>
      </c>
      <c r="J21" s="76">
        <f ca="1">+Assumptions!J40</f>
        <v>0</v>
      </c>
      <c r="K21" s="76">
        <f ca="1">+Assumptions!K40</f>
        <v>0</v>
      </c>
      <c r="L21" s="76">
        <f ca="1">+Assumptions!L40</f>
        <v>0</v>
      </c>
      <c r="M21" s="76">
        <f ca="1">+Assumptions!M40</f>
        <v>0</v>
      </c>
      <c r="N21" s="76">
        <f ca="1">+Assumptions!N40</f>
        <v>0</v>
      </c>
      <c r="O21" s="76">
        <f ca="1">+Assumptions!O40</f>
        <v>0</v>
      </c>
      <c r="P21" s="76"/>
      <c r="Q21" t="s">
        <v>112</v>
      </c>
    </row>
    <row r="22" spans="2:17" x14ac:dyDescent="0.25">
      <c r="B22" s="14" t="s">
        <v>103</v>
      </c>
      <c r="C22" s="12"/>
      <c r="D22" s="12"/>
      <c r="E22" s="12"/>
      <c r="F22" s="12"/>
      <c r="G22" s="12"/>
      <c r="H22" s="12">
        <v>51</v>
      </c>
      <c r="I22" s="3"/>
      <c r="J22" s="3"/>
      <c r="K22" s="3"/>
      <c r="L22" s="3"/>
      <c r="M22" s="3"/>
      <c r="N22" s="3"/>
      <c r="O22" s="3"/>
    </row>
    <row r="23" spans="2:17" ht="5.0999999999999996" customHeight="1" x14ac:dyDescent="0.25">
      <c r="C23" s="11"/>
      <c r="D23" s="11"/>
      <c r="E23" s="11"/>
      <c r="F23" s="11"/>
      <c r="G23" s="11"/>
      <c r="H23" s="11"/>
    </row>
    <row r="24" spans="2:17" x14ac:dyDescent="0.25">
      <c r="B24" s="5" t="s">
        <v>99</v>
      </c>
      <c r="C24" s="13">
        <f>+SUM(C17:C22)</f>
        <v>780</v>
      </c>
      <c r="D24" s="13">
        <f t="shared" ref="D24:O24" si="20">+SUM(D17:D22)</f>
        <v>866</v>
      </c>
      <c r="E24" s="13">
        <f t="shared" si="20"/>
        <v>878</v>
      </c>
      <c r="F24" s="13">
        <f t="shared" si="20"/>
        <v>875</v>
      </c>
      <c r="G24" s="13">
        <f t="shared" si="20"/>
        <v>925</v>
      </c>
      <c r="H24" s="13">
        <f t="shared" si="20"/>
        <v>976</v>
      </c>
      <c r="I24" s="13">
        <f t="shared" ca="1" si="20"/>
        <v>1036</v>
      </c>
      <c r="J24" s="13">
        <f t="shared" ca="1" si="20"/>
        <v>1130</v>
      </c>
      <c r="K24" s="13">
        <f t="shared" ca="1" si="20"/>
        <v>1244</v>
      </c>
      <c r="L24" s="13">
        <f t="shared" ca="1" si="20"/>
        <v>1394</v>
      </c>
      <c r="M24" s="13">
        <f t="shared" ca="1" si="20"/>
        <v>1508</v>
      </c>
      <c r="N24" s="13">
        <f t="shared" ca="1" si="20"/>
        <v>1622</v>
      </c>
      <c r="O24" s="13">
        <f t="shared" ca="1" si="20"/>
        <v>1736</v>
      </c>
      <c r="P24" s="13"/>
    </row>
    <row r="25" spans="2:17" x14ac:dyDescent="0.25">
      <c r="B25" t="s">
        <v>322</v>
      </c>
      <c r="C25" s="9"/>
      <c r="D25" s="9">
        <f>+D24-C24</f>
        <v>86</v>
      </c>
      <c r="E25" s="9">
        <f t="shared" ref="E25:O25" si="21">+E24-D24</f>
        <v>12</v>
      </c>
      <c r="F25" s="9">
        <f t="shared" si="21"/>
        <v>-3</v>
      </c>
      <c r="G25" s="9">
        <f t="shared" si="21"/>
        <v>50</v>
      </c>
      <c r="H25" s="9">
        <f t="shared" si="21"/>
        <v>51</v>
      </c>
      <c r="I25" s="9">
        <f t="shared" ca="1" si="21"/>
        <v>60</v>
      </c>
      <c r="J25" s="9">
        <f t="shared" ca="1" si="21"/>
        <v>94</v>
      </c>
      <c r="K25" s="9">
        <f t="shared" ca="1" si="21"/>
        <v>114</v>
      </c>
      <c r="L25" s="9">
        <f t="shared" ca="1" si="21"/>
        <v>150</v>
      </c>
      <c r="M25" s="9">
        <f t="shared" ca="1" si="21"/>
        <v>114</v>
      </c>
      <c r="N25" s="9">
        <f t="shared" ca="1" si="21"/>
        <v>114</v>
      </c>
      <c r="O25" s="9">
        <f t="shared" ca="1" si="21"/>
        <v>114</v>
      </c>
    </row>
    <row r="26" spans="2:17" x14ac:dyDescent="0.25">
      <c r="C26" s="9"/>
      <c r="D26" s="9"/>
      <c r="E26" s="9"/>
      <c r="F26" s="9"/>
      <c r="G26" s="9"/>
      <c r="H26" s="9"/>
    </row>
    <row r="27" spans="2:17" x14ac:dyDescent="0.25">
      <c r="B27" t="s">
        <v>100</v>
      </c>
      <c r="C27" s="9">
        <f t="shared" ref="C27:H27" si="22">+SUM(C17,C6)</f>
        <v>1127</v>
      </c>
      <c r="D27" s="9">
        <f t="shared" si="22"/>
        <v>1242</v>
      </c>
      <c r="E27" s="9">
        <f t="shared" si="22"/>
        <v>1385</v>
      </c>
      <c r="F27" s="9">
        <f t="shared" si="22"/>
        <v>1462</v>
      </c>
      <c r="G27" s="9">
        <f t="shared" si="22"/>
        <v>1594</v>
      </c>
      <c r="H27" s="9">
        <f t="shared" si="22"/>
        <v>1715</v>
      </c>
      <c r="I27" s="9">
        <f t="shared" ref="I27:O27" si="23">+SUM(I17,I6)</f>
        <v>1852</v>
      </c>
      <c r="J27" s="9">
        <f t="shared" ca="1" si="23"/>
        <v>2002</v>
      </c>
      <c r="K27" s="9">
        <f t="shared" ca="1" si="23"/>
        <v>2186</v>
      </c>
      <c r="L27" s="9">
        <f t="shared" ca="1" si="23"/>
        <v>2392</v>
      </c>
      <c r="M27" s="9">
        <f t="shared" ca="1" si="23"/>
        <v>2642</v>
      </c>
      <c r="N27" s="9">
        <f t="shared" ca="1" si="23"/>
        <v>2848</v>
      </c>
      <c r="O27" s="9">
        <f t="shared" ca="1" si="23"/>
        <v>3050</v>
      </c>
      <c r="P27" s="9"/>
    </row>
    <row r="28" spans="2:17" x14ac:dyDescent="0.25">
      <c r="B28" t="s">
        <v>101</v>
      </c>
      <c r="C28" s="9">
        <f>+SUM(C24,C13)</f>
        <v>1242</v>
      </c>
      <c r="D28" s="9">
        <f t="shared" ref="D28:H28" si="24">+SUM(D24,D13)</f>
        <v>1385</v>
      </c>
      <c r="E28" s="9">
        <f t="shared" si="24"/>
        <v>1462</v>
      </c>
      <c r="F28" s="9">
        <f t="shared" si="24"/>
        <v>1594</v>
      </c>
      <c r="G28" s="9">
        <f t="shared" si="24"/>
        <v>1715</v>
      </c>
      <c r="H28" s="9">
        <f t="shared" si="24"/>
        <v>1852</v>
      </c>
      <c r="I28" s="9">
        <f t="shared" ref="I28:O28" ca="1" si="25">+SUM(I24,I13)</f>
        <v>2002</v>
      </c>
      <c r="J28" s="9">
        <f t="shared" ca="1" si="25"/>
        <v>2186</v>
      </c>
      <c r="K28" s="9">
        <f t="shared" ca="1" si="25"/>
        <v>2392</v>
      </c>
      <c r="L28" s="9">
        <f t="shared" ca="1" si="25"/>
        <v>2642</v>
      </c>
      <c r="M28" s="9">
        <f t="shared" ca="1" si="25"/>
        <v>2848</v>
      </c>
      <c r="N28" s="9">
        <f t="shared" ca="1" si="25"/>
        <v>3050</v>
      </c>
      <c r="O28" s="9">
        <f t="shared" ca="1" si="25"/>
        <v>3248</v>
      </c>
      <c r="P28" s="9"/>
    </row>
    <row r="29" spans="2:17" x14ac:dyDescent="0.25">
      <c r="B29" t="s">
        <v>227</v>
      </c>
      <c r="C29" s="9">
        <f>+C28-C27</f>
        <v>115</v>
      </c>
      <c r="D29" s="9">
        <f t="shared" ref="D29:O29" si="26">+D28-D27</f>
        <v>143</v>
      </c>
      <c r="E29" s="9">
        <f t="shared" si="26"/>
        <v>77</v>
      </c>
      <c r="F29" s="9">
        <f t="shared" si="26"/>
        <v>132</v>
      </c>
      <c r="G29" s="9">
        <f t="shared" si="26"/>
        <v>121</v>
      </c>
      <c r="H29" s="9">
        <f t="shared" si="26"/>
        <v>137</v>
      </c>
      <c r="I29" s="9">
        <f t="shared" ca="1" si="26"/>
        <v>150</v>
      </c>
      <c r="J29" s="9">
        <f t="shared" ca="1" si="26"/>
        <v>184</v>
      </c>
      <c r="K29" s="9">
        <f t="shared" ca="1" si="26"/>
        <v>206</v>
      </c>
      <c r="L29" s="9">
        <f t="shared" ca="1" si="26"/>
        <v>250</v>
      </c>
      <c r="M29" s="9">
        <f t="shared" ca="1" si="26"/>
        <v>206</v>
      </c>
      <c r="N29" s="9">
        <f t="shared" ca="1" si="26"/>
        <v>202</v>
      </c>
      <c r="O29" s="9">
        <f t="shared" ca="1" si="26"/>
        <v>198</v>
      </c>
      <c r="P29" s="9"/>
    </row>
    <row r="30" spans="2:17" x14ac:dyDescent="0.25">
      <c r="B30" s="7" t="s">
        <v>102</v>
      </c>
      <c r="C30" s="8">
        <f>+C28/C27-1</f>
        <v>0.1020408163265305</v>
      </c>
      <c r="D30" s="8">
        <f t="shared" ref="D30:H30" si="27">+D28/D27-1</f>
        <v>0.11513687600644129</v>
      </c>
      <c r="E30" s="8">
        <f t="shared" si="27"/>
        <v>5.5595667870036003E-2</v>
      </c>
      <c r="F30" s="8">
        <f t="shared" si="27"/>
        <v>9.0287277701778468E-2</v>
      </c>
      <c r="G30" s="8">
        <f t="shared" si="27"/>
        <v>7.590966122961107E-2</v>
      </c>
      <c r="H30" s="8">
        <f t="shared" si="27"/>
        <v>7.9883381924198194E-2</v>
      </c>
      <c r="I30" s="8">
        <f t="shared" ref="I30:O30" ca="1" si="28">+I28/I27-1</f>
        <v>8.0993520518358508E-2</v>
      </c>
      <c r="J30" s="8">
        <f t="shared" ca="1" si="28"/>
        <v>9.1908091908091905E-2</v>
      </c>
      <c r="K30" s="8">
        <f t="shared" ca="1" si="28"/>
        <v>9.4236047575480431E-2</v>
      </c>
      <c r="L30" s="8">
        <f t="shared" ca="1" si="28"/>
        <v>0.10451505016722407</v>
      </c>
      <c r="M30" s="8">
        <f t="shared" ca="1" si="28"/>
        <v>7.7971233913701754E-2</v>
      </c>
      <c r="N30" s="8">
        <f t="shared" ca="1" si="28"/>
        <v>7.0926966292134797E-2</v>
      </c>
      <c r="O30" s="8">
        <f t="shared" ca="1" si="28"/>
        <v>6.4918032786885238E-2</v>
      </c>
      <c r="P30" s="8"/>
    </row>
  </sheetData>
  <pageMargins left="0.7" right="0.7" top="0.75" bottom="0.75" header="0.3" footer="0.3"/>
  <ignoredErrors>
    <ignoredError sqref="C1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80A5A-B701-4D2A-A605-1B181348233C}">
  <dimension ref="A1:AN104"/>
  <sheetViews>
    <sheetView showGridLines="0" topLeftCell="A9" zoomScaleNormal="100" workbookViewId="0">
      <selection activeCell="B9" sqref="B9"/>
    </sheetView>
  </sheetViews>
  <sheetFormatPr defaultRowHeight="15" x14ac:dyDescent="0.25"/>
  <cols>
    <col min="1" max="1" width="2.5703125" customWidth="1"/>
    <col min="2" max="2" width="23.7109375" bestFit="1" customWidth="1"/>
    <col min="3" max="9" width="10.7109375" customWidth="1"/>
    <col min="41" max="41" width="2.5703125" customWidth="1"/>
    <col min="42" max="42" width="9.42578125" bestFit="1" customWidth="1"/>
  </cols>
  <sheetData>
    <row r="1" spans="1:40" ht="2.1" customHeight="1" x14ac:dyDescent="0.25"/>
    <row r="2" spans="1:40" x14ac:dyDescent="0.25">
      <c r="A2" t="s">
        <v>108</v>
      </c>
      <c r="B2" t="s">
        <v>339</v>
      </c>
    </row>
    <row r="4" spans="1:40" x14ac:dyDescent="0.25">
      <c r="B4" s="286" t="s">
        <v>358</v>
      </c>
      <c r="C4" s="286"/>
      <c r="D4" s="286"/>
      <c r="E4" s="286"/>
      <c r="F4" s="286"/>
      <c r="G4" s="6">
        <v>2017</v>
      </c>
      <c r="H4" s="6">
        <f>+G4+1</f>
        <v>2018</v>
      </c>
      <c r="I4" s="6">
        <f t="shared" ref="I4:S4" si="0">+H4+1</f>
        <v>2019</v>
      </c>
      <c r="J4" s="6">
        <f t="shared" si="0"/>
        <v>2020</v>
      </c>
      <c r="K4" s="6">
        <f t="shared" si="0"/>
        <v>2021</v>
      </c>
      <c r="L4" s="6">
        <f t="shared" si="0"/>
        <v>2022</v>
      </c>
      <c r="M4" s="149">
        <f t="shared" si="0"/>
        <v>2023</v>
      </c>
      <c r="N4" s="6">
        <f t="shared" si="0"/>
        <v>2024</v>
      </c>
      <c r="O4" s="6">
        <f t="shared" si="0"/>
        <v>2025</v>
      </c>
      <c r="P4" s="6">
        <f t="shared" si="0"/>
        <v>2026</v>
      </c>
      <c r="Q4" s="6">
        <f t="shared" si="0"/>
        <v>2027</v>
      </c>
      <c r="R4" s="6">
        <f t="shared" si="0"/>
        <v>2028</v>
      </c>
      <c r="S4" s="6">
        <f t="shared" si="0"/>
        <v>2029</v>
      </c>
      <c r="T4" s="6">
        <f t="shared" ref="T4:AD4" si="1">+S4+1</f>
        <v>2030</v>
      </c>
      <c r="U4" s="6">
        <f t="shared" si="1"/>
        <v>2031</v>
      </c>
      <c r="V4" s="6">
        <f t="shared" si="1"/>
        <v>2032</v>
      </c>
      <c r="W4" s="6">
        <f t="shared" si="1"/>
        <v>2033</v>
      </c>
      <c r="X4" s="6">
        <f t="shared" si="1"/>
        <v>2034</v>
      </c>
      <c r="Y4" s="6">
        <f t="shared" si="1"/>
        <v>2035</v>
      </c>
      <c r="Z4" s="6">
        <f t="shared" si="1"/>
        <v>2036</v>
      </c>
      <c r="AA4" s="6">
        <f t="shared" si="1"/>
        <v>2037</v>
      </c>
      <c r="AB4" s="6">
        <f t="shared" si="1"/>
        <v>2038</v>
      </c>
      <c r="AC4" s="6">
        <f t="shared" si="1"/>
        <v>2039</v>
      </c>
      <c r="AD4" s="6">
        <f t="shared" si="1"/>
        <v>2040</v>
      </c>
      <c r="AE4" s="6">
        <f t="shared" ref="AE4:AN4" si="2">+AD4+1</f>
        <v>2041</v>
      </c>
      <c r="AF4" s="6">
        <f t="shared" si="2"/>
        <v>2042</v>
      </c>
      <c r="AG4" s="6">
        <f t="shared" si="2"/>
        <v>2043</v>
      </c>
      <c r="AH4" s="6">
        <f t="shared" si="2"/>
        <v>2044</v>
      </c>
      <c r="AI4" s="6">
        <f t="shared" si="2"/>
        <v>2045</v>
      </c>
      <c r="AJ4" s="6">
        <f t="shared" si="2"/>
        <v>2046</v>
      </c>
      <c r="AK4" s="6">
        <f t="shared" si="2"/>
        <v>2047</v>
      </c>
      <c r="AL4" s="6">
        <f t="shared" si="2"/>
        <v>2048</v>
      </c>
      <c r="AM4" s="6">
        <f t="shared" si="2"/>
        <v>2049</v>
      </c>
      <c r="AN4" s="6">
        <f t="shared" si="2"/>
        <v>2050</v>
      </c>
    </row>
    <row r="5" spans="1:40" x14ac:dyDescent="0.25">
      <c r="B5" t="s">
        <v>342</v>
      </c>
      <c r="G5" s="263">
        <v>268.8</v>
      </c>
      <c r="H5" s="215">
        <f>+G12</f>
        <v>272.5</v>
      </c>
      <c r="I5" s="215">
        <f t="shared" ref="I5:S5" si="3">+H12</f>
        <v>273.60000000000002</v>
      </c>
      <c r="J5" s="215">
        <f t="shared" si="3"/>
        <v>276.5</v>
      </c>
      <c r="K5" s="215">
        <f t="shared" si="3"/>
        <v>275.89999999999998</v>
      </c>
      <c r="L5" s="215">
        <f t="shared" si="3"/>
        <v>282.214</v>
      </c>
      <c r="M5" s="266">
        <f t="shared" si="3"/>
        <v>283.39999999999998</v>
      </c>
      <c r="N5" s="215">
        <f t="shared" si="3"/>
        <v>285.2</v>
      </c>
      <c r="O5" s="215">
        <f t="shared" si="3"/>
        <v>287.09719999999999</v>
      </c>
      <c r="P5" s="215">
        <f t="shared" si="3"/>
        <v>289.03234399999997</v>
      </c>
      <c r="Q5" s="215">
        <f t="shared" si="3"/>
        <v>291.00619087999996</v>
      </c>
      <c r="R5" s="215">
        <f t="shared" si="3"/>
        <v>293.01951469759996</v>
      </c>
      <c r="S5" s="215">
        <f t="shared" si="3"/>
        <v>295.07310499155199</v>
      </c>
      <c r="T5" s="215">
        <f t="shared" ref="T5:AD5" si="4">+S12</f>
        <v>297.16776709138304</v>
      </c>
      <c r="U5" s="215">
        <f t="shared" si="4"/>
        <v>299.3043224332107</v>
      </c>
      <c r="V5" s="215">
        <f t="shared" si="4"/>
        <v>301.48360888187494</v>
      </c>
      <c r="W5" s="215">
        <f t="shared" si="4"/>
        <v>303.70648105951244</v>
      </c>
      <c r="X5" s="215">
        <f t="shared" si="4"/>
        <v>305.97381068070268</v>
      </c>
      <c r="Y5" s="215">
        <f t="shared" si="4"/>
        <v>308.28648689431674</v>
      </c>
      <c r="Z5" s="215">
        <f t="shared" si="4"/>
        <v>310.64541663220308</v>
      </c>
      <c r="AA5" s="215">
        <f t="shared" si="4"/>
        <v>313.05152496484715</v>
      </c>
      <c r="AB5" s="215">
        <f t="shared" si="4"/>
        <v>315.5057554641441</v>
      </c>
      <c r="AC5" s="215">
        <f t="shared" si="4"/>
        <v>318.00907057342698</v>
      </c>
      <c r="AD5" s="215">
        <f t="shared" si="4"/>
        <v>320.56245198489552</v>
      </c>
      <c r="AE5" s="215">
        <f t="shared" ref="AE5:AN5" si="5">+AD12</f>
        <v>323.16690102459341</v>
      </c>
      <c r="AF5" s="215">
        <f t="shared" si="5"/>
        <v>325.82343904508531</v>
      </c>
      <c r="AG5" s="215">
        <f t="shared" si="5"/>
        <v>328.53310782598703</v>
      </c>
      <c r="AH5" s="215">
        <f t="shared" si="5"/>
        <v>331.29696998250677</v>
      </c>
      <c r="AI5" s="215">
        <f t="shared" si="5"/>
        <v>334.11610938215688</v>
      </c>
      <c r="AJ5" s="215">
        <f t="shared" si="5"/>
        <v>336.99163156980001</v>
      </c>
      <c r="AK5" s="215">
        <f t="shared" si="5"/>
        <v>339.92466420119598</v>
      </c>
      <c r="AL5" s="215">
        <f t="shared" si="5"/>
        <v>342.91635748521992</v>
      </c>
      <c r="AM5" s="215">
        <f t="shared" si="5"/>
        <v>345.9678846349243</v>
      </c>
      <c r="AN5" s="215">
        <f t="shared" si="5"/>
        <v>349.08044232762279</v>
      </c>
    </row>
    <row r="6" spans="1:40" x14ac:dyDescent="0.25">
      <c r="B6" t="s">
        <v>346</v>
      </c>
      <c r="G6" s="263">
        <v>17.5</v>
      </c>
      <c r="H6" s="263">
        <v>17.2</v>
      </c>
      <c r="I6" s="263">
        <v>17.100000000000001</v>
      </c>
      <c r="J6" s="263">
        <v>14.6</v>
      </c>
      <c r="K6" s="263">
        <v>15</v>
      </c>
      <c r="L6" s="263">
        <v>13.7</v>
      </c>
      <c r="M6" s="267">
        <v>15.5</v>
      </c>
      <c r="N6" s="215">
        <f>+M6*(1+N7)</f>
        <v>15.81</v>
      </c>
      <c r="O6" s="215">
        <f t="shared" ref="O6:S6" si="6">+N6*(1+O7)</f>
        <v>16.126200000000001</v>
      </c>
      <c r="P6" s="215">
        <f t="shared" si="6"/>
        <v>16.448724000000002</v>
      </c>
      <c r="Q6" s="215">
        <f t="shared" si="6"/>
        <v>16.777698480000002</v>
      </c>
      <c r="R6" s="215">
        <f t="shared" si="6"/>
        <v>17.113252449600001</v>
      </c>
      <c r="S6" s="215">
        <f t="shared" si="6"/>
        <v>17.455517498592002</v>
      </c>
      <c r="T6" s="215">
        <f t="shared" ref="T6" si="7">+S6*(1+T7)</f>
        <v>17.804627848563843</v>
      </c>
      <c r="U6" s="215">
        <f t="shared" ref="U6" si="8">+T6*(1+U7)</f>
        <v>18.16072040553512</v>
      </c>
      <c r="V6" s="215">
        <f t="shared" ref="V6" si="9">+U6*(1+V7)</f>
        <v>18.523934813645823</v>
      </c>
      <c r="W6" s="215">
        <f t="shared" ref="W6" si="10">+V6*(1+W7)</f>
        <v>18.894413509918738</v>
      </c>
      <c r="X6" s="215">
        <f t="shared" ref="X6" si="11">+W6*(1+X7)</f>
        <v>19.272301780117115</v>
      </c>
      <c r="Y6" s="215">
        <f t="shared" ref="Y6" si="12">+X6*(1+Y7)</f>
        <v>19.657747815719457</v>
      </c>
      <c r="Z6" s="215">
        <f t="shared" ref="Z6" si="13">+Y6*(1+Z7)</f>
        <v>20.050902772033847</v>
      </c>
      <c r="AA6" s="215">
        <f t="shared" ref="AA6" si="14">+Z6*(1+AA7)</f>
        <v>20.451920827474524</v>
      </c>
      <c r="AB6" s="215">
        <f t="shared" ref="AB6" si="15">+AA6*(1+AB7)</f>
        <v>20.860959244024016</v>
      </c>
      <c r="AC6" s="215">
        <f t="shared" ref="AC6" si="16">+AB6*(1+AC7)</f>
        <v>21.278178428904496</v>
      </c>
      <c r="AD6" s="215">
        <f t="shared" ref="AD6" si="17">+AC6*(1+AD7)</f>
        <v>21.703741997482588</v>
      </c>
      <c r="AE6" s="215">
        <f t="shared" ref="AE6" si="18">+AD6*(1+AE7)</f>
        <v>22.13781683743224</v>
      </c>
      <c r="AF6" s="215">
        <f t="shared" ref="AF6" si="19">+AE6*(1+AF7)</f>
        <v>22.580573174180884</v>
      </c>
      <c r="AG6" s="215">
        <f t="shared" ref="AG6" si="20">+AF6*(1+AG7)</f>
        <v>23.032184637664503</v>
      </c>
      <c r="AH6" s="215">
        <f t="shared" ref="AH6" si="21">+AG6*(1+AH7)</f>
        <v>23.492828330417794</v>
      </c>
      <c r="AI6" s="215">
        <f t="shared" ref="AI6" si="22">+AH6*(1+AI7)</f>
        <v>23.962684897026151</v>
      </c>
      <c r="AJ6" s="215">
        <f t="shared" ref="AJ6" si="23">+AI6*(1+AJ7)</f>
        <v>24.441938594966675</v>
      </c>
      <c r="AK6" s="215">
        <f t="shared" ref="AK6" si="24">+AJ6*(1+AK7)</f>
        <v>24.93077736686601</v>
      </c>
      <c r="AL6" s="215">
        <f t="shared" ref="AL6" si="25">+AK6*(1+AL7)</f>
        <v>25.42939291420333</v>
      </c>
      <c r="AM6" s="215">
        <f t="shared" ref="AM6" si="26">+AL6*(1+AM7)</f>
        <v>25.937980772487396</v>
      </c>
      <c r="AN6" s="215">
        <f t="shared" ref="AN6" si="27">+AM6*(1+AN7)</f>
        <v>26.456740387937145</v>
      </c>
    </row>
    <row r="7" spans="1:40" x14ac:dyDescent="0.25">
      <c r="B7" s="7" t="s">
        <v>274</v>
      </c>
      <c r="E7" s="58" t="s">
        <v>284</v>
      </c>
      <c r="F7" s="290">
        <v>0.02</v>
      </c>
      <c r="G7" s="15"/>
      <c r="H7" s="277">
        <f>+H6/G6-1</f>
        <v>-1.7142857142857237E-2</v>
      </c>
      <c r="I7" s="277">
        <f t="shared" ref="I7:M7" si="28">+I6/H6-1</f>
        <v>-5.8139534883719923E-3</v>
      </c>
      <c r="J7" s="277">
        <f t="shared" si="28"/>
        <v>-0.14619883040935677</v>
      </c>
      <c r="K7" s="277">
        <f t="shared" si="28"/>
        <v>2.7397260273972712E-2</v>
      </c>
      <c r="L7" s="277">
        <f t="shared" si="28"/>
        <v>-8.666666666666667E-2</v>
      </c>
      <c r="M7" s="276">
        <f t="shared" si="28"/>
        <v>0.13138686131386867</v>
      </c>
      <c r="N7" s="289">
        <f t="shared" ref="N7:AN7" si="29">+$F$7</f>
        <v>0.02</v>
      </c>
      <c r="O7" s="289">
        <f t="shared" si="29"/>
        <v>0.02</v>
      </c>
      <c r="P7" s="289">
        <f t="shared" si="29"/>
        <v>0.02</v>
      </c>
      <c r="Q7" s="289">
        <f t="shared" si="29"/>
        <v>0.02</v>
      </c>
      <c r="R7" s="289">
        <f t="shared" si="29"/>
        <v>0.02</v>
      </c>
      <c r="S7" s="289">
        <f t="shared" si="29"/>
        <v>0.02</v>
      </c>
      <c r="T7" s="289">
        <f t="shared" si="29"/>
        <v>0.02</v>
      </c>
      <c r="U7" s="289">
        <f t="shared" si="29"/>
        <v>0.02</v>
      </c>
      <c r="V7" s="289">
        <f t="shared" si="29"/>
        <v>0.02</v>
      </c>
      <c r="W7" s="289">
        <f t="shared" si="29"/>
        <v>0.02</v>
      </c>
      <c r="X7" s="289">
        <f t="shared" si="29"/>
        <v>0.02</v>
      </c>
      <c r="Y7" s="289">
        <f t="shared" si="29"/>
        <v>0.02</v>
      </c>
      <c r="Z7" s="289">
        <f t="shared" si="29"/>
        <v>0.02</v>
      </c>
      <c r="AA7" s="289">
        <f t="shared" si="29"/>
        <v>0.02</v>
      </c>
      <c r="AB7" s="289">
        <f t="shared" si="29"/>
        <v>0.02</v>
      </c>
      <c r="AC7" s="289">
        <f t="shared" si="29"/>
        <v>0.02</v>
      </c>
      <c r="AD7" s="289">
        <f t="shared" si="29"/>
        <v>0.02</v>
      </c>
      <c r="AE7" s="289">
        <f t="shared" si="29"/>
        <v>0.02</v>
      </c>
      <c r="AF7" s="289">
        <f t="shared" si="29"/>
        <v>0.02</v>
      </c>
      <c r="AG7" s="289">
        <f t="shared" si="29"/>
        <v>0.02</v>
      </c>
      <c r="AH7" s="289">
        <f t="shared" si="29"/>
        <v>0.02</v>
      </c>
      <c r="AI7" s="289">
        <f t="shared" si="29"/>
        <v>0.02</v>
      </c>
      <c r="AJ7" s="289">
        <f t="shared" si="29"/>
        <v>0.02</v>
      </c>
      <c r="AK7" s="289">
        <f t="shared" si="29"/>
        <v>0.02</v>
      </c>
      <c r="AL7" s="289">
        <f t="shared" si="29"/>
        <v>0.02</v>
      </c>
      <c r="AM7" s="289">
        <f t="shared" si="29"/>
        <v>0.02</v>
      </c>
      <c r="AN7" s="289">
        <f t="shared" si="29"/>
        <v>0.02</v>
      </c>
    </row>
    <row r="8" spans="1:40" x14ac:dyDescent="0.25">
      <c r="B8" s="22" t="s">
        <v>343</v>
      </c>
      <c r="C8" s="22"/>
      <c r="D8" s="22"/>
      <c r="E8" s="22"/>
      <c r="F8" s="22"/>
      <c r="G8" s="264">
        <v>0.2</v>
      </c>
      <c r="H8" s="264">
        <v>0.35</v>
      </c>
      <c r="I8" s="264">
        <v>0.31</v>
      </c>
      <c r="J8" s="264">
        <v>0.32</v>
      </c>
      <c r="K8" s="264">
        <v>0.66</v>
      </c>
      <c r="L8" s="264">
        <v>0.98</v>
      </c>
      <c r="M8" s="268">
        <v>1.08</v>
      </c>
      <c r="N8" s="265">
        <f>+N6*N9</f>
        <v>1.2613320000000003</v>
      </c>
      <c r="O8" s="265">
        <f t="shared" ref="O8:S8" si="30">+O6*O9</f>
        <v>1.4731096428000006</v>
      </c>
      <c r="P8" s="265">
        <f t="shared" si="30"/>
        <v>1.7204447518261208</v>
      </c>
      <c r="Q8" s="265">
        <f t="shared" si="30"/>
        <v>2.0093074256577261</v>
      </c>
      <c r="R8" s="265">
        <f t="shared" si="30"/>
        <v>2.3466701424256589</v>
      </c>
      <c r="S8" s="265">
        <f t="shared" si="30"/>
        <v>2.7406760593389268</v>
      </c>
      <c r="T8" s="265">
        <f t="shared" ref="T8" si="31">+T6*T9</f>
        <v>3.2008355697019333</v>
      </c>
      <c r="U8" s="265">
        <f t="shared" ref="U8" si="32">+U6*U9</f>
        <v>3.7382558618548876</v>
      </c>
      <c r="V8" s="265">
        <f t="shared" ref="V8" si="33">+V6*V9</f>
        <v>4.3659090210603235</v>
      </c>
      <c r="W8" s="265">
        <f t="shared" ref="W8" si="34">+W6*W9</f>
        <v>5.0989451456963515</v>
      </c>
      <c r="X8" s="265">
        <f t="shared" ref="X8" si="35">+X6*X9</f>
        <v>5.9550580356587695</v>
      </c>
      <c r="Y8" s="265">
        <f t="shared" ref="Y8" si="36">+Y6*Y9</f>
        <v>6.9549122798458773</v>
      </c>
      <c r="Z8" s="265">
        <f t="shared" ref="Z8" si="37">+Z6*Z9</f>
        <v>8.1226420516320008</v>
      </c>
      <c r="AA8" s="265">
        <f t="shared" ref="AA8" si="38">+AA6*AA9</f>
        <v>9.4864336521010149</v>
      </c>
      <c r="AB8" s="265">
        <f t="shared" ref="AB8" si="39">+AB6*AB9</f>
        <v>10.430479622012008</v>
      </c>
      <c r="AC8" s="265">
        <f t="shared" ref="AC8" si="40">+AC6*AC9</f>
        <v>10.639089214452248</v>
      </c>
      <c r="AD8" s="265">
        <f t="shared" ref="AD8" si="41">+AD6*AD9</f>
        <v>10.851870998741294</v>
      </c>
      <c r="AE8" s="265">
        <f t="shared" ref="AE8" si="42">+AE6*AE9</f>
        <v>11.06890841871612</v>
      </c>
      <c r="AF8" s="265">
        <f t="shared" ref="AF8" si="43">+AF6*AF9</f>
        <v>11.290286587090442</v>
      </c>
      <c r="AG8" s="265">
        <f t="shared" ref="AG8" si="44">+AG6*AG9</f>
        <v>11.516092318832252</v>
      </c>
      <c r="AH8" s="265">
        <f t="shared" ref="AH8" si="45">+AH6*AH9</f>
        <v>11.746414165208897</v>
      </c>
      <c r="AI8" s="265">
        <f t="shared" ref="AI8" si="46">+AI6*AI9</f>
        <v>11.981342448513075</v>
      </c>
      <c r="AJ8" s="265">
        <f t="shared" ref="AJ8" si="47">+AJ6*AJ9</f>
        <v>12.220969297483338</v>
      </c>
      <c r="AK8" s="265">
        <f t="shared" ref="AK8" si="48">+AK6*AK9</f>
        <v>12.465388683433005</v>
      </c>
      <c r="AL8" s="265">
        <f t="shared" ref="AL8" si="49">+AL6*AL9</f>
        <v>12.714696457101665</v>
      </c>
      <c r="AM8" s="265">
        <f t="shared" ref="AM8" si="50">+AM6*AM9</f>
        <v>12.968990386243698</v>
      </c>
      <c r="AN8" s="265">
        <f t="shared" ref="AN8" si="51">+AN6*AN9</f>
        <v>13.228370193968573</v>
      </c>
    </row>
    <row r="9" spans="1:40" x14ac:dyDescent="0.25">
      <c r="B9" s="7" t="s">
        <v>345</v>
      </c>
      <c r="C9" s="58" t="s">
        <v>359</v>
      </c>
      <c r="D9" s="287">
        <v>0.5</v>
      </c>
      <c r="E9" s="58" t="s">
        <v>155</v>
      </c>
      <c r="F9" s="288">
        <v>0.14499999999999999</v>
      </c>
      <c r="G9" s="277">
        <f>+G8/G6</f>
        <v>1.1428571428571429E-2</v>
      </c>
      <c r="H9" s="277">
        <f t="shared" ref="H9:M9" si="52">+H8/H6</f>
        <v>2.0348837209302324E-2</v>
      </c>
      <c r="I9" s="277">
        <f t="shared" si="52"/>
        <v>1.8128654970760234E-2</v>
      </c>
      <c r="J9" s="277">
        <f t="shared" si="52"/>
        <v>2.1917808219178082E-2</v>
      </c>
      <c r="K9" s="277">
        <f t="shared" si="52"/>
        <v>4.4000000000000004E-2</v>
      </c>
      <c r="L9" s="277">
        <f t="shared" si="52"/>
        <v>7.1532846715328474E-2</v>
      </c>
      <c r="M9" s="276">
        <f t="shared" si="52"/>
        <v>6.9677419354838718E-2</v>
      </c>
      <c r="N9" s="289">
        <f>+IF(M9*(1+$F$9)&lt;$D$9,M9*(1+$F$9),$D$9)</f>
        <v>7.9780645161290339E-2</v>
      </c>
      <c r="O9" s="289">
        <f t="shared" ref="O9:AN9" si="53">+IF(N9*(1+$F$9)&lt;$D$9,N9*(1+$F$9),$D$9)</f>
        <v>9.1348838709677443E-2</v>
      </c>
      <c r="P9" s="289">
        <f t="shared" si="53"/>
        <v>0.10459442032258068</v>
      </c>
      <c r="Q9" s="289">
        <f t="shared" si="53"/>
        <v>0.11976061126935487</v>
      </c>
      <c r="R9" s="289">
        <f t="shared" si="53"/>
        <v>0.13712589990341134</v>
      </c>
      <c r="S9" s="289">
        <f t="shared" si="53"/>
        <v>0.15700915538940599</v>
      </c>
      <c r="T9" s="289">
        <f t="shared" si="53"/>
        <v>0.17977548292086987</v>
      </c>
      <c r="U9" s="289">
        <f t="shared" si="53"/>
        <v>0.20584292794439599</v>
      </c>
      <c r="V9" s="289">
        <f t="shared" si="53"/>
        <v>0.2356901524963334</v>
      </c>
      <c r="W9" s="289">
        <f t="shared" si="53"/>
        <v>0.26986522460830176</v>
      </c>
      <c r="X9" s="289">
        <f t="shared" si="53"/>
        <v>0.30899568217650553</v>
      </c>
      <c r="Y9" s="289">
        <f t="shared" si="53"/>
        <v>0.35380005609209886</v>
      </c>
      <c r="Z9" s="289">
        <f t="shared" si="53"/>
        <v>0.40510106422545322</v>
      </c>
      <c r="AA9" s="289">
        <f t="shared" si="53"/>
        <v>0.46384071853814396</v>
      </c>
      <c r="AB9" s="289">
        <f t="shared" si="53"/>
        <v>0.5</v>
      </c>
      <c r="AC9" s="289">
        <f t="shared" si="53"/>
        <v>0.5</v>
      </c>
      <c r="AD9" s="289">
        <f t="shared" si="53"/>
        <v>0.5</v>
      </c>
      <c r="AE9" s="289">
        <f t="shared" si="53"/>
        <v>0.5</v>
      </c>
      <c r="AF9" s="289">
        <f t="shared" si="53"/>
        <v>0.5</v>
      </c>
      <c r="AG9" s="289">
        <f t="shared" si="53"/>
        <v>0.5</v>
      </c>
      <c r="AH9" s="289">
        <f t="shared" si="53"/>
        <v>0.5</v>
      </c>
      <c r="AI9" s="289">
        <f t="shared" si="53"/>
        <v>0.5</v>
      </c>
      <c r="AJ9" s="289">
        <f t="shared" si="53"/>
        <v>0.5</v>
      </c>
      <c r="AK9" s="289">
        <f t="shared" si="53"/>
        <v>0.5</v>
      </c>
      <c r="AL9" s="289">
        <f t="shared" si="53"/>
        <v>0.5</v>
      </c>
      <c r="AM9" s="289">
        <f t="shared" si="53"/>
        <v>0.5</v>
      </c>
      <c r="AN9" s="289">
        <f t="shared" si="53"/>
        <v>0.5</v>
      </c>
    </row>
    <row r="10" spans="1:40" x14ac:dyDescent="0.25">
      <c r="B10" t="s">
        <v>344</v>
      </c>
      <c r="G10" s="215">
        <f>-G6-G5+G12</f>
        <v>-13.800000000000011</v>
      </c>
      <c r="H10" s="215">
        <f t="shared" ref="H10:M10" si="54">-H6-H5+H12</f>
        <v>-16.099999999999966</v>
      </c>
      <c r="I10" s="215">
        <f t="shared" si="54"/>
        <v>-14.200000000000045</v>
      </c>
      <c r="J10" s="215">
        <f t="shared" si="54"/>
        <v>-15.200000000000045</v>
      </c>
      <c r="K10" s="215">
        <f t="shared" si="54"/>
        <v>-8.6859999999999786</v>
      </c>
      <c r="L10" s="215">
        <f t="shared" si="54"/>
        <v>-12.51400000000001</v>
      </c>
      <c r="M10" s="266">
        <f t="shared" si="54"/>
        <v>-13.699999999999989</v>
      </c>
      <c r="N10" s="215">
        <f>-N6*N11</f>
        <v>-13.912800000000001</v>
      </c>
      <c r="O10" s="215">
        <f t="shared" ref="O10:AN10" si="55">-O6*O11</f>
        <v>-14.191056000000001</v>
      </c>
      <c r="P10" s="215">
        <f t="shared" si="55"/>
        <v>-14.474877120000002</v>
      </c>
      <c r="Q10" s="215">
        <f t="shared" si="55"/>
        <v>-14.764374662400002</v>
      </c>
      <c r="R10" s="215">
        <f t="shared" si="55"/>
        <v>-15.059662155648001</v>
      </c>
      <c r="S10" s="215">
        <f t="shared" si="55"/>
        <v>-15.360855398760961</v>
      </c>
      <c r="T10" s="215">
        <f t="shared" si="55"/>
        <v>-15.668072506736182</v>
      </c>
      <c r="U10" s="215">
        <f t="shared" si="55"/>
        <v>-15.981433956870905</v>
      </c>
      <c r="V10" s="215">
        <f t="shared" si="55"/>
        <v>-16.301062636008325</v>
      </c>
      <c r="W10" s="215">
        <f t="shared" si="55"/>
        <v>-16.627083888728489</v>
      </c>
      <c r="X10" s="215">
        <f t="shared" si="55"/>
        <v>-16.95962556650306</v>
      </c>
      <c r="Y10" s="215">
        <f t="shared" si="55"/>
        <v>-17.298818077833122</v>
      </c>
      <c r="Z10" s="215">
        <f t="shared" si="55"/>
        <v>-17.644794439389784</v>
      </c>
      <c r="AA10" s="215">
        <f t="shared" si="55"/>
        <v>-17.99769032817758</v>
      </c>
      <c r="AB10" s="215">
        <f t="shared" si="55"/>
        <v>-18.357644134741136</v>
      </c>
      <c r="AC10" s="215">
        <f t="shared" si="55"/>
        <v>-18.724797017435957</v>
      </c>
      <c r="AD10" s="215">
        <f t="shared" si="55"/>
        <v>-19.099292957784677</v>
      </c>
      <c r="AE10" s="215">
        <f t="shared" si="55"/>
        <v>-19.481278816940371</v>
      </c>
      <c r="AF10" s="215">
        <f t="shared" si="55"/>
        <v>-19.870904393279179</v>
      </c>
      <c r="AG10" s="215">
        <f t="shared" si="55"/>
        <v>-20.268322481144764</v>
      </c>
      <c r="AH10" s="215">
        <f t="shared" si="55"/>
        <v>-20.673688930767657</v>
      </c>
      <c r="AI10" s="215">
        <f t="shared" si="55"/>
        <v>-21.087162709383012</v>
      </c>
      <c r="AJ10" s="215">
        <f t="shared" si="55"/>
        <v>-21.508905963570676</v>
      </c>
      <c r="AK10" s="215">
        <f t="shared" si="55"/>
        <v>-21.93908408284209</v>
      </c>
      <c r="AL10" s="215">
        <f t="shared" si="55"/>
        <v>-22.377865764498932</v>
      </c>
      <c r="AM10" s="215">
        <f t="shared" si="55"/>
        <v>-22.825423079788909</v>
      </c>
      <c r="AN10" s="215">
        <f t="shared" si="55"/>
        <v>-23.281931541384687</v>
      </c>
    </row>
    <row r="11" spans="1:40" x14ac:dyDescent="0.25">
      <c r="B11" s="7" t="s">
        <v>348</v>
      </c>
      <c r="C11" s="104"/>
      <c r="D11" s="104"/>
      <c r="E11" s="58" t="s">
        <v>360</v>
      </c>
      <c r="F11" s="290">
        <v>0.88</v>
      </c>
      <c r="G11" s="277">
        <f>-G10/G6</f>
        <v>0.78857142857142926</v>
      </c>
      <c r="H11" s="277">
        <f t="shared" ref="H11:M11" si="56">-H10/H6</f>
        <v>0.93604651162790509</v>
      </c>
      <c r="I11" s="277">
        <f t="shared" si="56"/>
        <v>0.83040935672514882</v>
      </c>
      <c r="J11" s="277">
        <f t="shared" si="56"/>
        <v>1.041095890410962</v>
      </c>
      <c r="K11" s="277">
        <f t="shared" si="56"/>
        <v>0.57906666666666529</v>
      </c>
      <c r="L11" s="277">
        <f t="shared" si="56"/>
        <v>0.91343065693430736</v>
      </c>
      <c r="M11" s="276">
        <f t="shared" si="56"/>
        <v>0.88387096774193474</v>
      </c>
      <c r="N11" s="289">
        <f>+$F$11</f>
        <v>0.88</v>
      </c>
      <c r="O11" s="289">
        <f t="shared" ref="O11:AN11" si="57">+$F$11</f>
        <v>0.88</v>
      </c>
      <c r="P11" s="289">
        <f t="shared" si="57"/>
        <v>0.88</v>
      </c>
      <c r="Q11" s="289">
        <f t="shared" si="57"/>
        <v>0.88</v>
      </c>
      <c r="R11" s="289">
        <f t="shared" si="57"/>
        <v>0.88</v>
      </c>
      <c r="S11" s="289">
        <f t="shared" si="57"/>
        <v>0.88</v>
      </c>
      <c r="T11" s="289">
        <f t="shared" si="57"/>
        <v>0.88</v>
      </c>
      <c r="U11" s="289">
        <f t="shared" si="57"/>
        <v>0.88</v>
      </c>
      <c r="V11" s="289">
        <f t="shared" si="57"/>
        <v>0.88</v>
      </c>
      <c r="W11" s="289">
        <f t="shared" si="57"/>
        <v>0.88</v>
      </c>
      <c r="X11" s="289">
        <f t="shared" si="57"/>
        <v>0.88</v>
      </c>
      <c r="Y11" s="289">
        <f t="shared" si="57"/>
        <v>0.88</v>
      </c>
      <c r="Z11" s="289">
        <f t="shared" si="57"/>
        <v>0.88</v>
      </c>
      <c r="AA11" s="289">
        <f t="shared" si="57"/>
        <v>0.88</v>
      </c>
      <c r="AB11" s="289">
        <f t="shared" si="57"/>
        <v>0.88</v>
      </c>
      <c r="AC11" s="289">
        <f t="shared" si="57"/>
        <v>0.88</v>
      </c>
      <c r="AD11" s="289">
        <f t="shared" si="57"/>
        <v>0.88</v>
      </c>
      <c r="AE11" s="289">
        <f t="shared" si="57"/>
        <v>0.88</v>
      </c>
      <c r="AF11" s="289">
        <f t="shared" si="57"/>
        <v>0.88</v>
      </c>
      <c r="AG11" s="289">
        <f t="shared" si="57"/>
        <v>0.88</v>
      </c>
      <c r="AH11" s="289">
        <f t="shared" si="57"/>
        <v>0.88</v>
      </c>
      <c r="AI11" s="289">
        <f t="shared" si="57"/>
        <v>0.88</v>
      </c>
      <c r="AJ11" s="289">
        <f t="shared" si="57"/>
        <v>0.88</v>
      </c>
      <c r="AK11" s="289">
        <f t="shared" si="57"/>
        <v>0.88</v>
      </c>
      <c r="AL11" s="289">
        <f t="shared" si="57"/>
        <v>0.88</v>
      </c>
      <c r="AM11" s="289">
        <f t="shared" si="57"/>
        <v>0.88</v>
      </c>
      <c r="AN11" s="289">
        <f t="shared" si="57"/>
        <v>0.88</v>
      </c>
    </row>
    <row r="12" spans="1:40" x14ac:dyDescent="0.25">
      <c r="B12" s="22" t="s">
        <v>341</v>
      </c>
      <c r="C12" s="22"/>
      <c r="D12" s="22"/>
      <c r="E12" s="22"/>
      <c r="F12" s="22"/>
      <c r="G12" s="263">
        <v>272.5</v>
      </c>
      <c r="H12" s="263">
        <v>273.60000000000002</v>
      </c>
      <c r="I12" s="263">
        <v>276.5</v>
      </c>
      <c r="J12" s="263">
        <v>275.89999999999998</v>
      </c>
      <c r="K12" s="263">
        <v>282.214</v>
      </c>
      <c r="L12" s="263">
        <v>283.39999999999998</v>
      </c>
      <c r="M12" s="267">
        <v>285.2</v>
      </c>
      <c r="N12" s="215">
        <f>+N10+N6+N5</f>
        <v>287.09719999999999</v>
      </c>
      <c r="O12" s="215">
        <f t="shared" ref="O12:AN12" si="58">+O10+O6+O5</f>
        <v>289.03234399999997</v>
      </c>
      <c r="P12" s="215">
        <f t="shared" si="58"/>
        <v>291.00619087999996</v>
      </c>
      <c r="Q12" s="215">
        <f t="shared" si="58"/>
        <v>293.01951469759996</v>
      </c>
      <c r="R12" s="215">
        <f t="shared" si="58"/>
        <v>295.07310499155199</v>
      </c>
      <c r="S12" s="215">
        <f t="shared" si="58"/>
        <v>297.16776709138304</v>
      </c>
      <c r="T12" s="215">
        <f t="shared" si="58"/>
        <v>299.3043224332107</v>
      </c>
      <c r="U12" s="215">
        <f t="shared" si="58"/>
        <v>301.48360888187494</v>
      </c>
      <c r="V12" s="215">
        <f t="shared" si="58"/>
        <v>303.70648105951244</v>
      </c>
      <c r="W12" s="215">
        <f t="shared" si="58"/>
        <v>305.97381068070268</v>
      </c>
      <c r="X12" s="215">
        <f t="shared" si="58"/>
        <v>308.28648689431674</v>
      </c>
      <c r="Y12" s="215">
        <f t="shared" si="58"/>
        <v>310.64541663220308</v>
      </c>
      <c r="Z12" s="215">
        <f t="shared" si="58"/>
        <v>313.05152496484715</v>
      </c>
      <c r="AA12" s="215">
        <f t="shared" si="58"/>
        <v>315.5057554641441</v>
      </c>
      <c r="AB12" s="215">
        <f t="shared" si="58"/>
        <v>318.00907057342698</v>
      </c>
      <c r="AC12" s="215">
        <f t="shared" si="58"/>
        <v>320.56245198489552</v>
      </c>
      <c r="AD12" s="215">
        <f t="shared" si="58"/>
        <v>323.16690102459341</v>
      </c>
      <c r="AE12" s="215">
        <f t="shared" si="58"/>
        <v>325.82343904508531</v>
      </c>
      <c r="AF12" s="215">
        <f t="shared" si="58"/>
        <v>328.53310782598703</v>
      </c>
      <c r="AG12" s="215">
        <f t="shared" si="58"/>
        <v>331.29696998250677</v>
      </c>
      <c r="AH12" s="215">
        <f t="shared" si="58"/>
        <v>334.11610938215688</v>
      </c>
      <c r="AI12" s="215">
        <f t="shared" si="58"/>
        <v>336.99163156980001</v>
      </c>
      <c r="AJ12" s="215">
        <f t="shared" si="58"/>
        <v>339.92466420119598</v>
      </c>
      <c r="AK12" s="215">
        <f t="shared" si="58"/>
        <v>342.91635748521992</v>
      </c>
      <c r="AL12" s="215">
        <f t="shared" si="58"/>
        <v>345.9678846349243</v>
      </c>
      <c r="AM12" s="215">
        <f t="shared" si="58"/>
        <v>349.08044232762279</v>
      </c>
      <c r="AN12" s="215">
        <f t="shared" si="58"/>
        <v>352.25525117417527</v>
      </c>
    </row>
    <row r="13" spans="1:40" ht="2.1" customHeight="1" x14ac:dyDescent="0.25">
      <c r="B13" s="279"/>
      <c r="C13" s="279"/>
      <c r="D13" s="279"/>
      <c r="E13" s="279"/>
      <c r="F13" s="279"/>
      <c r="G13" s="280"/>
      <c r="H13" s="280"/>
      <c r="I13" s="280"/>
      <c r="J13" s="280"/>
      <c r="K13" s="280"/>
      <c r="L13" s="280"/>
      <c r="M13" s="281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</row>
    <row r="14" spans="1:40" x14ac:dyDescent="0.25">
      <c r="B14" s="124" t="s">
        <v>350</v>
      </c>
      <c r="C14" s="124"/>
      <c r="D14" s="124"/>
      <c r="E14" s="124"/>
      <c r="F14" s="124"/>
      <c r="G14" s="217">
        <f>+AVERAGE(G12,G5)</f>
        <v>270.64999999999998</v>
      </c>
      <c r="H14" s="217">
        <f t="shared" ref="H14:AD14" si="59">+AVERAGE(H12,H5)</f>
        <v>273.05</v>
      </c>
      <c r="I14" s="217">
        <f t="shared" si="59"/>
        <v>275.05</v>
      </c>
      <c r="J14" s="217">
        <f t="shared" si="59"/>
        <v>276.2</v>
      </c>
      <c r="K14" s="217">
        <f t="shared" si="59"/>
        <v>279.05700000000002</v>
      </c>
      <c r="L14" s="217">
        <f t="shared" si="59"/>
        <v>282.80700000000002</v>
      </c>
      <c r="M14" s="278">
        <f t="shared" si="59"/>
        <v>284.29999999999995</v>
      </c>
      <c r="N14" s="217">
        <f t="shared" si="59"/>
        <v>286.14859999999999</v>
      </c>
      <c r="O14" s="217">
        <f t="shared" si="59"/>
        <v>288.06477199999995</v>
      </c>
      <c r="P14" s="217">
        <f t="shared" si="59"/>
        <v>290.01926743999996</v>
      </c>
      <c r="Q14" s="217">
        <f t="shared" si="59"/>
        <v>292.01285278879993</v>
      </c>
      <c r="R14" s="217">
        <f t="shared" si="59"/>
        <v>294.04630984457594</v>
      </c>
      <c r="S14" s="217">
        <f t="shared" si="59"/>
        <v>296.12043604146754</v>
      </c>
      <c r="T14" s="217">
        <f t="shared" si="59"/>
        <v>298.23604476229684</v>
      </c>
      <c r="U14" s="217">
        <f t="shared" si="59"/>
        <v>300.39396565754282</v>
      </c>
      <c r="V14" s="217">
        <f t="shared" si="59"/>
        <v>302.59504497069372</v>
      </c>
      <c r="W14" s="217">
        <f t="shared" si="59"/>
        <v>304.84014587010756</v>
      </c>
      <c r="X14" s="217">
        <f t="shared" si="59"/>
        <v>307.13014878750971</v>
      </c>
      <c r="Y14" s="217">
        <f t="shared" si="59"/>
        <v>309.46595176325991</v>
      </c>
      <c r="Z14" s="217">
        <f t="shared" si="59"/>
        <v>311.84847079852511</v>
      </c>
      <c r="AA14" s="217">
        <f t="shared" si="59"/>
        <v>314.27864021449562</v>
      </c>
      <c r="AB14" s="217">
        <f t="shared" si="59"/>
        <v>316.75741301878554</v>
      </c>
      <c r="AC14" s="217">
        <f t="shared" si="59"/>
        <v>319.28576127916125</v>
      </c>
      <c r="AD14" s="217">
        <f t="shared" si="59"/>
        <v>321.86467650474447</v>
      </c>
      <c r="AE14" s="217">
        <f t="shared" ref="AE14" si="60">+AVERAGE(AE12,AE5)</f>
        <v>324.49517003483936</v>
      </c>
      <c r="AF14" s="217">
        <f t="shared" ref="AF14" si="61">+AVERAGE(AF12,AF5)</f>
        <v>327.1782734355362</v>
      </c>
      <c r="AG14" s="217">
        <f t="shared" ref="AG14" si="62">+AVERAGE(AG12,AG5)</f>
        <v>329.9150389042469</v>
      </c>
      <c r="AH14" s="217">
        <f t="shared" ref="AH14" si="63">+AVERAGE(AH12,AH5)</f>
        <v>332.70653968233182</v>
      </c>
      <c r="AI14" s="217">
        <f t="shared" ref="AI14" si="64">+AVERAGE(AI12,AI5)</f>
        <v>335.55387047597844</v>
      </c>
      <c r="AJ14" s="217">
        <f t="shared" ref="AJ14" si="65">+AVERAGE(AJ12,AJ5)</f>
        <v>338.45814788549797</v>
      </c>
      <c r="AK14" s="217">
        <f t="shared" ref="AK14" si="66">+AVERAGE(AK12,AK5)</f>
        <v>341.42051084320792</v>
      </c>
      <c r="AL14" s="217">
        <f t="shared" ref="AL14" si="67">+AVERAGE(AL12,AL5)</f>
        <v>344.44212106007211</v>
      </c>
      <c r="AM14" s="217">
        <f t="shared" ref="AM14" si="68">+AVERAGE(AM12,AM5)</f>
        <v>347.52416348127355</v>
      </c>
      <c r="AN14" s="217">
        <f t="shared" ref="AN14" si="69">+AVERAGE(AN12,AN5)</f>
        <v>350.667846750899</v>
      </c>
    </row>
    <row r="15" spans="1:40" x14ac:dyDescent="0.25">
      <c r="G15" s="121"/>
      <c r="M15" s="148"/>
    </row>
    <row r="16" spans="1:40" x14ac:dyDescent="0.25">
      <c r="B16" t="s">
        <v>458</v>
      </c>
      <c r="G16" s="264">
        <v>0.2</v>
      </c>
      <c r="H16" s="265">
        <f>+G19</f>
        <v>0.4</v>
      </c>
      <c r="I16" s="265">
        <f t="shared" ref="I16:S16" si="70">+H19</f>
        <v>0.72636697247706428</v>
      </c>
      <c r="J16" s="265">
        <f t="shared" si="70"/>
        <v>0.99866810182949728</v>
      </c>
      <c r="K16" s="265">
        <f t="shared" si="70"/>
        <v>1.2637684448753981</v>
      </c>
      <c r="L16" s="265">
        <f t="shared" si="70"/>
        <v>1.8839819544361533</v>
      </c>
      <c r="M16" s="269">
        <f t="shared" si="70"/>
        <v>2.7804419805942668</v>
      </c>
      <c r="N16" s="265">
        <f t="shared" si="70"/>
        <v>3.7260310591611638</v>
      </c>
      <c r="O16" s="265">
        <f t="shared" si="70"/>
        <v>4.8055975440142591</v>
      </c>
      <c r="P16" s="265">
        <f t="shared" si="70"/>
        <v>6.0411691548844155</v>
      </c>
      <c r="Q16" s="265">
        <f t="shared" si="70"/>
        <v>7.4590692849982823</v>
      </c>
      <c r="R16" s="265">
        <f t="shared" si="70"/>
        <v>9.0899363303208425</v>
      </c>
      <c r="S16" s="265">
        <f t="shared" si="70"/>
        <v>10.969431546556835</v>
      </c>
      <c r="T16" s="265">
        <f t="shared" ref="T16:AD16" si="71">+S19</f>
        <v>13.139063180148826</v>
      </c>
      <c r="U16" s="265">
        <f t="shared" si="71"/>
        <v>15.647145977260005</v>
      </c>
      <c r="V16" s="265">
        <f t="shared" si="71"/>
        <v>18.549918315134377</v>
      </c>
      <c r="W16" s="265">
        <f t="shared" si="71"/>
        <v>21.912842857306096</v>
      </c>
      <c r="X16" s="265">
        <f t="shared" si="71"/>
        <v>25.812120892976047</v>
      </c>
      <c r="Y16" s="265">
        <f t="shared" si="71"/>
        <v>30.336455480610663</v>
      </c>
      <c r="Z16" s="265">
        <f t="shared" si="71"/>
        <v>35.589104291914474</v>
      </c>
      <c r="AA16" s="265">
        <f t="shared" si="71"/>
        <v>41.690269779299179</v>
      </c>
      <c r="AB16" s="265">
        <f t="shared" si="71"/>
        <v>48.779882124523432</v>
      </c>
      <c r="AC16" s="265">
        <f t="shared" si="71"/>
        <v>56.372113310594024</v>
      </c>
      <c r="AD16" s="265">
        <f t="shared" si="71"/>
        <v>63.691937520178904</v>
      </c>
      <c r="AE16" s="265">
        <f t="shared" ref="AE16:AN16" si="72">+AD19</f>
        <v>70.749006706622694</v>
      </c>
      <c r="AF16" s="265">
        <f t="shared" si="72"/>
        <v>77.552994673078729</v>
      </c>
      <c r="AG16" s="265">
        <f t="shared" si="72"/>
        <v>84.113578120709036</v>
      </c>
      <c r="AH16" s="265">
        <f t="shared" si="72"/>
        <v>90.440418319184246</v>
      </c>
      <c r="AI16" s="265">
        <f t="shared" si="72"/>
        <v>96.543143454583898</v>
      </c>
      <c r="AJ16" s="265">
        <f t="shared" si="72"/>
        <v>102.43133170509458</v>
      </c>
      <c r="AK16" s="265">
        <f t="shared" si="72"/>
        <v>108.11449508999442</v>
      </c>
      <c r="AL16" s="265">
        <f t="shared" si="72"/>
        <v>113.60206413233925</v>
      </c>
      <c r="AM16" s="265">
        <f t="shared" si="72"/>
        <v>118.90337337056771</v>
      </c>
      <c r="AN16" s="265">
        <f t="shared" si="72"/>
        <v>124.02764774896221</v>
      </c>
    </row>
    <row r="17" spans="2:40" x14ac:dyDescent="0.25">
      <c r="B17" t="s">
        <v>343</v>
      </c>
      <c r="G17" s="265">
        <f>+G8</f>
        <v>0.2</v>
      </c>
      <c r="H17" s="265">
        <f>+H8</f>
        <v>0.35</v>
      </c>
      <c r="I17" s="265">
        <f t="shared" ref="I17:S17" si="73">+I8</f>
        <v>0.31</v>
      </c>
      <c r="J17" s="265">
        <f t="shared" si="73"/>
        <v>0.32</v>
      </c>
      <c r="K17" s="265">
        <f t="shared" si="73"/>
        <v>0.66</v>
      </c>
      <c r="L17" s="265">
        <f t="shared" si="73"/>
        <v>0.98</v>
      </c>
      <c r="M17" s="269">
        <f t="shared" si="73"/>
        <v>1.08</v>
      </c>
      <c r="N17" s="265">
        <f t="shared" si="73"/>
        <v>1.2613320000000003</v>
      </c>
      <c r="O17" s="265">
        <f t="shared" si="73"/>
        <v>1.4731096428000006</v>
      </c>
      <c r="P17" s="265">
        <f t="shared" si="73"/>
        <v>1.7204447518261208</v>
      </c>
      <c r="Q17" s="265">
        <f t="shared" si="73"/>
        <v>2.0093074256577261</v>
      </c>
      <c r="R17" s="265">
        <f t="shared" si="73"/>
        <v>2.3466701424256589</v>
      </c>
      <c r="S17" s="265">
        <f t="shared" si="73"/>
        <v>2.7406760593389268</v>
      </c>
      <c r="T17" s="265">
        <f t="shared" ref="T17:AD17" si="74">+T8</f>
        <v>3.2008355697019333</v>
      </c>
      <c r="U17" s="265">
        <f t="shared" si="74"/>
        <v>3.7382558618548876</v>
      </c>
      <c r="V17" s="265">
        <f t="shared" si="74"/>
        <v>4.3659090210603235</v>
      </c>
      <c r="W17" s="265">
        <f t="shared" si="74"/>
        <v>5.0989451456963515</v>
      </c>
      <c r="X17" s="265">
        <f t="shared" si="74"/>
        <v>5.9550580356587695</v>
      </c>
      <c r="Y17" s="265">
        <f t="shared" si="74"/>
        <v>6.9549122798458773</v>
      </c>
      <c r="Z17" s="265">
        <f t="shared" si="74"/>
        <v>8.1226420516320008</v>
      </c>
      <c r="AA17" s="265">
        <f t="shared" si="74"/>
        <v>9.4864336521010149</v>
      </c>
      <c r="AB17" s="265">
        <f t="shared" si="74"/>
        <v>10.430479622012008</v>
      </c>
      <c r="AC17" s="265">
        <f t="shared" si="74"/>
        <v>10.639089214452248</v>
      </c>
      <c r="AD17" s="265">
        <f t="shared" si="74"/>
        <v>10.851870998741294</v>
      </c>
      <c r="AE17" s="265">
        <f t="shared" ref="AE17:AN17" si="75">+AE8</f>
        <v>11.06890841871612</v>
      </c>
      <c r="AF17" s="265">
        <f t="shared" si="75"/>
        <v>11.290286587090442</v>
      </c>
      <c r="AG17" s="265">
        <f t="shared" si="75"/>
        <v>11.516092318832252</v>
      </c>
      <c r="AH17" s="265">
        <f t="shared" si="75"/>
        <v>11.746414165208897</v>
      </c>
      <c r="AI17" s="265">
        <f t="shared" si="75"/>
        <v>11.981342448513075</v>
      </c>
      <c r="AJ17" s="265">
        <f t="shared" si="75"/>
        <v>12.220969297483338</v>
      </c>
      <c r="AK17" s="265">
        <f t="shared" si="75"/>
        <v>12.465388683433005</v>
      </c>
      <c r="AL17" s="265">
        <f t="shared" si="75"/>
        <v>12.714696457101665</v>
      </c>
      <c r="AM17" s="265">
        <f t="shared" si="75"/>
        <v>12.968990386243698</v>
      </c>
      <c r="AN17" s="265">
        <f t="shared" si="75"/>
        <v>13.228370193968573</v>
      </c>
    </row>
    <row r="18" spans="2:40" x14ac:dyDescent="0.25">
      <c r="B18" t="s">
        <v>459</v>
      </c>
      <c r="H18" s="265">
        <f>+G20*H10</f>
        <v>-2.363302752293573E-2</v>
      </c>
      <c r="I18" s="265">
        <f t="shared" ref="I18:AN18" si="76">+H20*I10</f>
        <v>-3.7698870647567051E-2</v>
      </c>
      <c r="J18" s="265">
        <f t="shared" si="76"/>
        <v>-5.489965695409911E-2</v>
      </c>
      <c r="K18" s="265">
        <f t="shared" si="76"/>
        <v>-3.9786490439244947E-2</v>
      </c>
      <c r="L18" s="265">
        <f t="shared" si="76"/>
        <v>-8.3539973841886092E-2</v>
      </c>
      <c r="M18" s="269">
        <f t="shared" si="76"/>
        <v>-0.13441092143310313</v>
      </c>
      <c r="N18" s="265">
        <f t="shared" si="76"/>
        <v>-0.18176551514690548</v>
      </c>
      <c r="O18" s="265">
        <f t="shared" si="76"/>
        <v>-0.23753803192984405</v>
      </c>
      <c r="P18" s="265">
        <f t="shared" si="76"/>
        <v>-0.30254462171225438</v>
      </c>
      <c r="Q18" s="265">
        <f t="shared" si="76"/>
        <v>-0.37844038033516469</v>
      </c>
      <c r="R18" s="265">
        <f t="shared" si="76"/>
        <v>-0.46717492618966477</v>
      </c>
      <c r="S18" s="265">
        <f t="shared" si="76"/>
        <v>-0.5710444257469367</v>
      </c>
      <c r="T18" s="265">
        <f t="shared" si="76"/>
        <v>-0.69275277259075552</v>
      </c>
      <c r="U18" s="265">
        <f t="shared" si="76"/>
        <v>-0.83548352398051451</v>
      </c>
      <c r="V18" s="265">
        <f t="shared" si="76"/>
        <v>-1.0029844788886055</v>
      </c>
      <c r="W18" s="265">
        <f t="shared" si="76"/>
        <v>-1.1996671100264016</v>
      </c>
      <c r="X18" s="265">
        <f t="shared" si="76"/>
        <v>-1.4307234480241531</v>
      </c>
      <c r="Y18" s="265">
        <f t="shared" si="76"/>
        <v>-1.702263468542065</v>
      </c>
      <c r="Z18" s="265">
        <f t="shared" si="76"/>
        <v>-2.0214765642472958</v>
      </c>
      <c r="AA18" s="265">
        <f t="shared" si="76"/>
        <v>-2.3968213068767579</v>
      </c>
      <c r="AB18" s="265">
        <f t="shared" si="76"/>
        <v>-2.8382484359414151</v>
      </c>
      <c r="AC18" s="265">
        <f t="shared" si="76"/>
        <v>-3.3192650048673666</v>
      </c>
      <c r="AD18" s="265">
        <f t="shared" si="76"/>
        <v>-3.7948018122975085</v>
      </c>
      <c r="AE18" s="265">
        <f t="shared" si="76"/>
        <v>-4.2649204522600908</v>
      </c>
      <c r="AF18" s="265">
        <f t="shared" si="76"/>
        <v>-4.7297031394601312</v>
      </c>
      <c r="AG18" s="265">
        <f t="shared" si="76"/>
        <v>-5.1892521203570459</v>
      </c>
      <c r="AH18" s="265">
        <f t="shared" si="76"/>
        <v>-5.6436890298092433</v>
      </c>
      <c r="AI18" s="265">
        <f t="shared" si="76"/>
        <v>-6.0931541980023933</v>
      </c>
      <c r="AJ18" s="265">
        <f t="shared" si="76"/>
        <v>-6.5378059125834875</v>
      </c>
      <c r="AK18" s="265">
        <f t="shared" si="76"/>
        <v>-6.9778196410881694</v>
      </c>
      <c r="AL18" s="265">
        <f t="shared" si="76"/>
        <v>-7.4133872188732122</v>
      </c>
      <c r="AM18" s="265">
        <f t="shared" si="76"/>
        <v>-7.8447160078491951</v>
      </c>
      <c r="AN18" s="265">
        <f t="shared" si="76"/>
        <v>-8.2720280313504588</v>
      </c>
    </row>
    <row r="19" spans="2:40" x14ac:dyDescent="0.25">
      <c r="B19" t="s">
        <v>460</v>
      </c>
      <c r="G19" s="121">
        <f>+SUM(G16:G18)</f>
        <v>0.4</v>
      </c>
      <c r="H19" s="121">
        <f t="shared" ref="H19:AN19" si="77">+SUM(H16:H18)</f>
        <v>0.72636697247706428</v>
      </c>
      <c r="I19" s="121">
        <f t="shared" si="77"/>
        <v>0.99866810182949728</v>
      </c>
      <c r="J19" s="121">
        <f t="shared" si="77"/>
        <v>1.2637684448753981</v>
      </c>
      <c r="K19" s="121">
        <f t="shared" si="77"/>
        <v>1.8839819544361533</v>
      </c>
      <c r="L19" s="121">
        <f t="shared" si="77"/>
        <v>2.7804419805942668</v>
      </c>
      <c r="M19" s="270">
        <f t="shared" si="77"/>
        <v>3.7260310591611638</v>
      </c>
      <c r="N19" s="121">
        <f t="shared" si="77"/>
        <v>4.8055975440142591</v>
      </c>
      <c r="O19" s="121">
        <f t="shared" si="77"/>
        <v>6.0411691548844155</v>
      </c>
      <c r="P19" s="121">
        <f t="shared" si="77"/>
        <v>7.4590692849982823</v>
      </c>
      <c r="Q19" s="121">
        <f t="shared" si="77"/>
        <v>9.0899363303208425</v>
      </c>
      <c r="R19" s="121">
        <f t="shared" si="77"/>
        <v>10.969431546556835</v>
      </c>
      <c r="S19" s="121">
        <f t="shared" si="77"/>
        <v>13.139063180148826</v>
      </c>
      <c r="T19" s="121">
        <f t="shared" si="77"/>
        <v>15.647145977260005</v>
      </c>
      <c r="U19" s="121">
        <f t="shared" si="77"/>
        <v>18.549918315134377</v>
      </c>
      <c r="V19" s="121">
        <f t="shared" si="77"/>
        <v>21.912842857306096</v>
      </c>
      <c r="W19" s="121">
        <f t="shared" si="77"/>
        <v>25.812120892976047</v>
      </c>
      <c r="X19" s="121">
        <f t="shared" si="77"/>
        <v>30.336455480610663</v>
      </c>
      <c r="Y19" s="121">
        <f t="shared" si="77"/>
        <v>35.589104291914474</v>
      </c>
      <c r="Z19" s="121">
        <f t="shared" si="77"/>
        <v>41.690269779299179</v>
      </c>
      <c r="AA19" s="121">
        <f t="shared" si="77"/>
        <v>48.779882124523432</v>
      </c>
      <c r="AB19" s="121">
        <f t="shared" si="77"/>
        <v>56.372113310594024</v>
      </c>
      <c r="AC19" s="121">
        <f t="shared" si="77"/>
        <v>63.691937520178904</v>
      </c>
      <c r="AD19" s="121">
        <f t="shared" si="77"/>
        <v>70.749006706622694</v>
      </c>
      <c r="AE19" s="121">
        <f t="shared" si="77"/>
        <v>77.552994673078729</v>
      </c>
      <c r="AF19" s="121">
        <f t="shared" si="77"/>
        <v>84.113578120709036</v>
      </c>
      <c r="AG19" s="121">
        <f t="shared" si="77"/>
        <v>90.440418319184246</v>
      </c>
      <c r="AH19" s="121">
        <f t="shared" si="77"/>
        <v>96.543143454583898</v>
      </c>
      <c r="AI19" s="121">
        <f t="shared" si="77"/>
        <v>102.43133170509458</v>
      </c>
      <c r="AJ19" s="121">
        <f t="shared" si="77"/>
        <v>108.11449508999442</v>
      </c>
      <c r="AK19" s="121">
        <f t="shared" si="77"/>
        <v>113.60206413233925</v>
      </c>
      <c r="AL19" s="121">
        <f t="shared" si="77"/>
        <v>118.90337337056771</v>
      </c>
      <c r="AM19" s="121">
        <f t="shared" si="77"/>
        <v>124.02764774896221</v>
      </c>
      <c r="AN19" s="121">
        <f t="shared" si="77"/>
        <v>128.98398991158032</v>
      </c>
    </row>
    <row r="20" spans="2:40" x14ac:dyDescent="0.25">
      <c r="B20" s="7" t="s">
        <v>347</v>
      </c>
      <c r="C20" s="7"/>
      <c r="D20" s="7"/>
      <c r="E20" s="7"/>
      <c r="F20" s="7"/>
      <c r="G20" s="277">
        <f t="shared" ref="G20:AD20" si="78">+G19/G12</f>
        <v>1.4678899082568807E-3</v>
      </c>
      <c r="H20" s="277">
        <f t="shared" si="78"/>
        <v>2.6548500456033048E-3</v>
      </c>
      <c r="I20" s="277">
        <f t="shared" si="78"/>
        <v>3.6118195364538779E-3</v>
      </c>
      <c r="J20" s="277">
        <f t="shared" si="78"/>
        <v>4.5805307896897357E-3</v>
      </c>
      <c r="K20" s="277">
        <f t="shared" si="78"/>
        <v>6.6757210997191964E-3</v>
      </c>
      <c r="L20" s="277">
        <f t="shared" si="78"/>
        <v>9.8110161630002371E-3</v>
      </c>
      <c r="M20" s="276">
        <f t="shared" si="78"/>
        <v>1.3064625032121894E-2</v>
      </c>
      <c r="N20" s="277">
        <f t="shared" si="78"/>
        <v>1.6738573361266704E-2</v>
      </c>
      <c r="O20" s="277">
        <f t="shared" si="78"/>
        <v>2.0901360281271552E-2</v>
      </c>
      <c r="P20" s="277">
        <f t="shared" si="78"/>
        <v>2.5631995190350167E-2</v>
      </c>
      <c r="Q20" s="277">
        <f t="shared" si="78"/>
        <v>3.1021607348240193E-2</v>
      </c>
      <c r="R20" s="277">
        <f t="shared" si="78"/>
        <v>3.7175301174503496E-2</v>
      </c>
      <c r="S20" s="277">
        <f t="shared" si="78"/>
        <v>4.4214294533863052E-2</v>
      </c>
      <c r="T20" s="277">
        <f t="shared" si="78"/>
        <v>5.2278382918280915E-2</v>
      </c>
      <c r="U20" s="277">
        <f t="shared" si="78"/>
        <v>6.1528778907520863E-2</v>
      </c>
      <c r="V20" s="277">
        <f t="shared" si="78"/>
        <v>7.2151383733599653E-2</v>
      </c>
      <c r="W20" s="277">
        <f t="shared" si="78"/>
        <v>8.4360556335039236E-2</v>
      </c>
      <c r="X20" s="277">
        <f t="shared" si="78"/>
        <v>9.8403455131039402E-2</v>
      </c>
      <c r="Y20" s="277">
        <f t="shared" si="78"/>
        <v>0.11456503906526695</v>
      </c>
      <c r="Z20" s="277">
        <f t="shared" si="78"/>
        <v>0.13317382748408788</v>
      </c>
      <c r="AA20" s="277">
        <f t="shared" si="78"/>
        <v>0.15460853337766467</v>
      </c>
      <c r="AB20" s="277">
        <f t="shared" si="78"/>
        <v>0.17726574027887024</v>
      </c>
      <c r="AC20" s="277">
        <f t="shared" si="78"/>
        <v>0.19868807817573089</v>
      </c>
      <c r="AD20" s="277">
        <f t="shared" si="78"/>
        <v>0.21892404971646093</v>
      </c>
      <c r="AE20" s="277">
        <f t="shared" ref="AE20:AN20" si="79">+AE19/AE12</f>
        <v>0.23802153368821158</v>
      </c>
      <c r="AF20" s="277">
        <f t="shared" si="79"/>
        <v>0.25602770654475765</v>
      </c>
      <c r="AG20" s="277">
        <f t="shared" si="79"/>
        <v>0.27298896915344473</v>
      </c>
      <c r="AH20" s="277">
        <f t="shared" si="79"/>
        <v>0.28895087888192583</v>
      </c>
      <c r="AI20" s="277">
        <f t="shared" si="79"/>
        <v>0.30395808711314631</v>
      </c>
      <c r="AJ20" s="277">
        <f t="shared" si="79"/>
        <v>0.31805428224532473</v>
      </c>
      <c r="AK20" s="277">
        <f t="shared" si="79"/>
        <v>0.3312821382025663</v>
      </c>
      <c r="AL20" s="277">
        <f t="shared" si="79"/>
        <v>0.34368326845145791</v>
      </c>
      <c r="AM20" s="277">
        <f t="shared" si="79"/>
        <v>0.35529818548974573</v>
      </c>
      <c r="AN20" s="277">
        <f t="shared" si="79"/>
        <v>0.36616626574518607</v>
      </c>
    </row>
    <row r="21" spans="2:40" ht="2.1" customHeight="1" x14ac:dyDescent="0.25">
      <c r="B21" s="283"/>
      <c r="C21" s="283"/>
      <c r="D21" s="283"/>
      <c r="E21" s="283"/>
      <c r="F21" s="283"/>
      <c r="G21" s="284"/>
      <c r="H21" s="284"/>
      <c r="I21" s="284"/>
      <c r="J21" s="284"/>
      <c r="K21" s="284"/>
      <c r="L21" s="284"/>
      <c r="M21" s="285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</row>
    <row r="22" spans="2:40" x14ac:dyDescent="0.25">
      <c r="B22" s="5" t="s">
        <v>357</v>
      </c>
      <c r="C22" s="5"/>
      <c r="D22" s="5"/>
      <c r="E22" s="5"/>
      <c r="F22" s="5"/>
      <c r="G22" s="217">
        <f>+AVERAGE(G19,G16)</f>
        <v>0.30000000000000004</v>
      </c>
      <c r="H22" s="217">
        <f t="shared" ref="H22:AD22" si="80">+AVERAGE(H19,H16)</f>
        <v>0.56318348623853209</v>
      </c>
      <c r="I22" s="217">
        <f t="shared" si="80"/>
        <v>0.86251753715328072</v>
      </c>
      <c r="J22" s="217">
        <f t="shared" si="80"/>
        <v>1.1312182733524476</v>
      </c>
      <c r="K22" s="217">
        <f t="shared" si="80"/>
        <v>1.5738751996557756</v>
      </c>
      <c r="L22" s="217">
        <f t="shared" si="80"/>
        <v>2.3322119675152102</v>
      </c>
      <c r="M22" s="278">
        <f t="shared" si="80"/>
        <v>3.2532365198777153</v>
      </c>
      <c r="N22" s="217">
        <f t="shared" si="80"/>
        <v>4.2658143015877119</v>
      </c>
      <c r="O22" s="217">
        <f t="shared" si="80"/>
        <v>5.4233833494493373</v>
      </c>
      <c r="P22" s="217">
        <f t="shared" si="80"/>
        <v>6.7501192199413484</v>
      </c>
      <c r="Q22" s="217">
        <f t="shared" si="80"/>
        <v>8.2745028076595624</v>
      </c>
      <c r="R22" s="217">
        <f t="shared" si="80"/>
        <v>10.02968393843884</v>
      </c>
      <c r="S22" s="217">
        <f t="shared" si="80"/>
        <v>12.054247363352831</v>
      </c>
      <c r="T22" s="217">
        <f t="shared" si="80"/>
        <v>14.393104578704415</v>
      </c>
      <c r="U22" s="217">
        <f t="shared" si="80"/>
        <v>17.09853214619719</v>
      </c>
      <c r="V22" s="217">
        <f t="shared" si="80"/>
        <v>20.231380586220236</v>
      </c>
      <c r="W22" s="217">
        <f t="shared" si="80"/>
        <v>23.862481875141071</v>
      </c>
      <c r="X22" s="217">
        <f t="shared" si="80"/>
        <v>28.074288186793353</v>
      </c>
      <c r="Y22" s="217">
        <f t="shared" si="80"/>
        <v>32.962779886262567</v>
      </c>
      <c r="Z22" s="217">
        <f t="shared" si="80"/>
        <v>38.639687035606826</v>
      </c>
      <c r="AA22" s="217">
        <f t="shared" si="80"/>
        <v>45.235075951911305</v>
      </c>
      <c r="AB22" s="217">
        <f t="shared" si="80"/>
        <v>52.575997717558728</v>
      </c>
      <c r="AC22" s="217">
        <f t="shared" si="80"/>
        <v>60.032025415386464</v>
      </c>
      <c r="AD22" s="217">
        <f t="shared" si="80"/>
        <v>67.220472113400803</v>
      </c>
      <c r="AE22" s="217">
        <f t="shared" ref="AE22:AN22" si="81">+AVERAGE(AE19,AE16)</f>
        <v>74.151000689850719</v>
      </c>
      <c r="AF22" s="217">
        <f t="shared" si="81"/>
        <v>80.833286396893882</v>
      </c>
      <c r="AG22" s="217">
        <f t="shared" si="81"/>
        <v>87.276998219946648</v>
      </c>
      <c r="AH22" s="217">
        <f t="shared" si="81"/>
        <v>93.491780886884072</v>
      </c>
      <c r="AI22" s="217">
        <f t="shared" si="81"/>
        <v>99.487237579839245</v>
      </c>
      <c r="AJ22" s="217">
        <f t="shared" si="81"/>
        <v>105.2729133975445</v>
      </c>
      <c r="AK22" s="217">
        <f t="shared" si="81"/>
        <v>110.85827961116684</v>
      </c>
      <c r="AL22" s="217">
        <f t="shared" si="81"/>
        <v>116.25271875145347</v>
      </c>
      <c r="AM22" s="217">
        <f t="shared" si="81"/>
        <v>121.46551055976497</v>
      </c>
      <c r="AN22" s="217">
        <f t="shared" si="81"/>
        <v>126.50581883027127</v>
      </c>
    </row>
    <row r="23" spans="2:40" x14ac:dyDescent="0.25">
      <c r="B23" s="5" t="s">
        <v>354</v>
      </c>
      <c r="C23" s="5"/>
      <c r="D23" s="5"/>
      <c r="E23" s="5"/>
      <c r="F23" s="5"/>
      <c r="G23" s="217">
        <f>+G14-G22</f>
        <v>270.34999999999997</v>
      </c>
      <c r="H23" s="217">
        <f t="shared" ref="H23:AD23" si="82">+H14-H22</f>
        <v>272.48681651376148</v>
      </c>
      <c r="I23" s="217">
        <f t="shared" si="82"/>
        <v>274.18748246284673</v>
      </c>
      <c r="J23" s="217">
        <f t="shared" si="82"/>
        <v>275.06878172664756</v>
      </c>
      <c r="K23" s="217">
        <f t="shared" si="82"/>
        <v>277.48312480034423</v>
      </c>
      <c r="L23" s="217">
        <f t="shared" si="82"/>
        <v>280.47478803248481</v>
      </c>
      <c r="M23" s="278">
        <f t="shared" si="82"/>
        <v>281.04676348012225</v>
      </c>
      <c r="N23" s="217">
        <f t="shared" si="82"/>
        <v>281.88278569841225</v>
      </c>
      <c r="O23" s="217">
        <f t="shared" si="82"/>
        <v>282.6413886505506</v>
      </c>
      <c r="P23" s="217">
        <f t="shared" si="82"/>
        <v>283.26914822005864</v>
      </c>
      <c r="Q23" s="217">
        <f t="shared" si="82"/>
        <v>283.73834998114035</v>
      </c>
      <c r="R23" s="217">
        <f t="shared" si="82"/>
        <v>284.01662590613711</v>
      </c>
      <c r="S23" s="217">
        <f t="shared" si="82"/>
        <v>284.06618867811471</v>
      </c>
      <c r="T23" s="217">
        <f t="shared" si="82"/>
        <v>283.84294018359242</v>
      </c>
      <c r="U23" s="217">
        <f t="shared" si="82"/>
        <v>283.29543351134561</v>
      </c>
      <c r="V23" s="217">
        <f t="shared" si="82"/>
        <v>282.36366438447351</v>
      </c>
      <c r="W23" s="217">
        <f t="shared" si="82"/>
        <v>280.97766399496652</v>
      </c>
      <c r="X23" s="217">
        <f t="shared" si="82"/>
        <v>279.05586060071636</v>
      </c>
      <c r="Y23" s="217">
        <f t="shared" si="82"/>
        <v>276.50317187699733</v>
      </c>
      <c r="Z23" s="217">
        <f t="shared" si="82"/>
        <v>273.2087837629183</v>
      </c>
      <c r="AA23" s="217">
        <f t="shared" si="82"/>
        <v>269.04356426258431</v>
      </c>
      <c r="AB23" s="217">
        <f t="shared" si="82"/>
        <v>264.18141530122682</v>
      </c>
      <c r="AC23" s="217">
        <f t="shared" si="82"/>
        <v>259.25373586377481</v>
      </c>
      <c r="AD23" s="217">
        <f t="shared" si="82"/>
        <v>254.64420439134366</v>
      </c>
      <c r="AE23" s="217">
        <f t="shared" ref="AE23" si="83">+AE14-AE22</f>
        <v>250.34416934498864</v>
      </c>
      <c r="AF23" s="217">
        <f t="shared" ref="AF23" si="84">+AF14-AF22</f>
        <v>246.34498703864233</v>
      </c>
      <c r="AG23" s="217">
        <f t="shared" ref="AG23" si="85">+AG14-AG22</f>
        <v>242.63804068430025</v>
      </c>
      <c r="AH23" s="217">
        <f t="shared" ref="AH23" si="86">+AH14-AH22</f>
        <v>239.21475879544775</v>
      </c>
      <c r="AI23" s="217">
        <f t="shared" ref="AI23" si="87">+AI14-AI22</f>
        <v>236.0666328961392</v>
      </c>
      <c r="AJ23" s="217">
        <f t="shared" ref="AJ23" si="88">+AJ14-AJ22</f>
        <v>233.18523448795347</v>
      </c>
      <c r="AK23" s="217">
        <f t="shared" ref="AK23" si="89">+AK14-AK22</f>
        <v>230.56223123204109</v>
      </c>
      <c r="AL23" s="217">
        <f t="shared" ref="AL23" si="90">+AL14-AL22</f>
        <v>228.18940230861864</v>
      </c>
      <c r="AM23" s="217">
        <f t="shared" ref="AM23" si="91">+AM14-AM22</f>
        <v>226.05865292150858</v>
      </c>
      <c r="AN23" s="217">
        <f t="shared" ref="AN23" si="92">+AN14-AN22</f>
        <v>224.16202792062774</v>
      </c>
    </row>
    <row r="24" spans="2:40" x14ac:dyDescent="0.25">
      <c r="M24" s="148"/>
    </row>
    <row r="25" spans="2:40" x14ac:dyDescent="0.25">
      <c r="B25" t="s">
        <v>340</v>
      </c>
      <c r="G25" s="263">
        <v>3212346</v>
      </c>
      <c r="H25" s="263">
        <v>3240325</v>
      </c>
      <c r="I25" s="263">
        <v>3261771</v>
      </c>
      <c r="J25" s="263">
        <v>2903621</v>
      </c>
      <c r="K25" s="263">
        <v>3140088</v>
      </c>
      <c r="L25" s="263">
        <v>3169226</v>
      </c>
      <c r="M25" s="267">
        <v>3231719</v>
      </c>
      <c r="N25" s="215">
        <f>+M25*(1+N26)</f>
        <v>3264036.19</v>
      </c>
      <c r="O25" s="215">
        <f t="shared" ref="O25:AD25" si="93">+N25*(1+O26)</f>
        <v>3296676.5518999998</v>
      </c>
      <c r="P25" s="215">
        <f t="shared" si="93"/>
        <v>3329643.317419</v>
      </c>
      <c r="Q25" s="215">
        <f t="shared" si="93"/>
        <v>3362939.7505931901</v>
      </c>
      <c r="R25" s="215">
        <f t="shared" si="93"/>
        <v>3396569.1480991221</v>
      </c>
      <c r="S25" s="215">
        <f t="shared" si="93"/>
        <v>3430534.8395801135</v>
      </c>
      <c r="T25" s="215">
        <f t="shared" si="93"/>
        <v>3464840.1879759147</v>
      </c>
      <c r="U25" s="215">
        <f t="shared" si="93"/>
        <v>3499488.5898556737</v>
      </c>
      <c r="V25" s="215">
        <f t="shared" si="93"/>
        <v>3534483.4757542303</v>
      </c>
      <c r="W25" s="215">
        <f t="shared" si="93"/>
        <v>3569828.3105117725</v>
      </c>
      <c r="X25" s="215">
        <f t="shared" si="93"/>
        <v>3605526.5936168903</v>
      </c>
      <c r="Y25" s="215">
        <f t="shared" si="93"/>
        <v>3641581.8595530591</v>
      </c>
      <c r="Z25" s="215">
        <f t="shared" si="93"/>
        <v>3677997.6781485896</v>
      </c>
      <c r="AA25" s="215">
        <f t="shared" si="93"/>
        <v>3714777.6549300756</v>
      </c>
      <c r="AB25" s="215">
        <f t="shared" si="93"/>
        <v>3751925.4314793763</v>
      </c>
      <c r="AC25" s="215">
        <f t="shared" si="93"/>
        <v>3789444.68579417</v>
      </c>
      <c r="AD25" s="215">
        <f t="shared" si="93"/>
        <v>3827339.1326521118</v>
      </c>
      <c r="AE25" s="215">
        <f t="shared" ref="AE25" si="94">+AD25*(1+AE26)</f>
        <v>3865612.5239786329</v>
      </c>
      <c r="AF25" s="215">
        <f t="shared" ref="AF25" si="95">+AE25*(1+AF26)</f>
        <v>3904268.6492184191</v>
      </c>
      <c r="AG25" s="215">
        <f t="shared" ref="AG25" si="96">+AF25*(1+AG26)</f>
        <v>3943311.3357106033</v>
      </c>
      <c r="AH25" s="215">
        <f t="shared" ref="AH25" si="97">+AG25*(1+AH26)</f>
        <v>3982744.4490677095</v>
      </c>
      <c r="AI25" s="215">
        <f t="shared" ref="AI25" si="98">+AH25*(1+AI26)</f>
        <v>4022571.8935583867</v>
      </c>
      <c r="AJ25" s="215">
        <f t="shared" ref="AJ25" si="99">+AI25*(1+AJ26)</f>
        <v>4062797.6124939704</v>
      </c>
      <c r="AK25" s="215">
        <f t="shared" ref="AK25" si="100">+AJ25*(1+AK26)</f>
        <v>4103425.5886189099</v>
      </c>
      <c r="AL25" s="215">
        <f t="shared" ref="AL25" si="101">+AK25*(1+AL26)</f>
        <v>4144459.8445050991</v>
      </c>
      <c r="AM25" s="215">
        <f t="shared" ref="AM25" si="102">+AL25*(1+AM26)</f>
        <v>4185904.44295015</v>
      </c>
      <c r="AN25" s="215">
        <f t="shared" ref="AN25" si="103">+AM25*(1+AN26)</f>
        <v>4227763.4873796515</v>
      </c>
    </row>
    <row r="26" spans="2:40" x14ac:dyDescent="0.25">
      <c r="B26" s="7" t="s">
        <v>274</v>
      </c>
      <c r="E26" s="58" t="s">
        <v>284</v>
      </c>
      <c r="F26" s="287">
        <v>0.01</v>
      </c>
      <c r="G26" s="15"/>
      <c r="H26" s="8">
        <f>+H25/G25-1</f>
        <v>8.7098338721918189E-3</v>
      </c>
      <c r="I26" s="275">
        <f t="shared" ref="I26:M26" si="104">+I25/H25-1</f>
        <v>6.6184719125397251E-3</v>
      </c>
      <c r="J26" s="275">
        <f t="shared" si="104"/>
        <v>-0.10980231291528442</v>
      </c>
      <c r="K26" s="275">
        <f t="shared" si="104"/>
        <v>8.1438658833229205E-2</v>
      </c>
      <c r="L26" s="275">
        <f t="shared" si="104"/>
        <v>9.2793577759604506E-3</v>
      </c>
      <c r="M26" s="276">
        <f t="shared" si="104"/>
        <v>1.9718694722307584E-2</v>
      </c>
      <c r="N26" s="289">
        <f t="shared" ref="N26:AN26" si="105">+$F$26</f>
        <v>0.01</v>
      </c>
      <c r="O26" s="289">
        <f t="shared" si="105"/>
        <v>0.01</v>
      </c>
      <c r="P26" s="289">
        <f t="shared" si="105"/>
        <v>0.01</v>
      </c>
      <c r="Q26" s="289">
        <f t="shared" si="105"/>
        <v>0.01</v>
      </c>
      <c r="R26" s="289">
        <f t="shared" si="105"/>
        <v>0.01</v>
      </c>
      <c r="S26" s="289">
        <f t="shared" si="105"/>
        <v>0.01</v>
      </c>
      <c r="T26" s="289">
        <f t="shared" si="105"/>
        <v>0.01</v>
      </c>
      <c r="U26" s="289">
        <f t="shared" si="105"/>
        <v>0.01</v>
      </c>
      <c r="V26" s="289">
        <f t="shared" si="105"/>
        <v>0.01</v>
      </c>
      <c r="W26" s="289">
        <f t="shared" si="105"/>
        <v>0.01</v>
      </c>
      <c r="X26" s="289">
        <f t="shared" si="105"/>
        <v>0.01</v>
      </c>
      <c r="Y26" s="289">
        <f t="shared" si="105"/>
        <v>0.01</v>
      </c>
      <c r="Z26" s="289">
        <f t="shared" si="105"/>
        <v>0.01</v>
      </c>
      <c r="AA26" s="289">
        <f t="shared" si="105"/>
        <v>0.01</v>
      </c>
      <c r="AB26" s="289">
        <f t="shared" si="105"/>
        <v>0.01</v>
      </c>
      <c r="AC26" s="289">
        <f t="shared" si="105"/>
        <v>0.01</v>
      </c>
      <c r="AD26" s="289">
        <f t="shared" si="105"/>
        <v>0.01</v>
      </c>
      <c r="AE26" s="289">
        <f t="shared" si="105"/>
        <v>0.01</v>
      </c>
      <c r="AF26" s="289">
        <f t="shared" si="105"/>
        <v>0.01</v>
      </c>
      <c r="AG26" s="289">
        <f t="shared" si="105"/>
        <v>0.01</v>
      </c>
      <c r="AH26" s="289">
        <f t="shared" si="105"/>
        <v>0.01</v>
      </c>
      <c r="AI26" s="289">
        <f t="shared" si="105"/>
        <v>0.01</v>
      </c>
      <c r="AJ26" s="289">
        <f t="shared" si="105"/>
        <v>0.01</v>
      </c>
      <c r="AK26" s="289">
        <f t="shared" si="105"/>
        <v>0.01</v>
      </c>
      <c r="AL26" s="289">
        <f t="shared" si="105"/>
        <v>0.01</v>
      </c>
      <c r="AM26" s="289">
        <f t="shared" si="105"/>
        <v>0.01</v>
      </c>
      <c r="AN26" s="289">
        <f t="shared" si="105"/>
        <v>0.01</v>
      </c>
    </row>
    <row r="27" spans="2:40" x14ac:dyDescent="0.25">
      <c r="B27" t="s">
        <v>349</v>
      </c>
      <c r="G27" s="215">
        <f t="shared" ref="G27:AD27" si="106">+G25/G14</f>
        <v>11869.004249030113</v>
      </c>
      <c r="H27" s="215">
        <f t="shared" si="106"/>
        <v>11867.148873832632</v>
      </c>
      <c r="I27" s="215">
        <f t="shared" si="106"/>
        <v>11858.829303762952</v>
      </c>
      <c r="J27" s="215">
        <f t="shared" si="106"/>
        <v>10512.748008689356</v>
      </c>
      <c r="K27" s="215">
        <f t="shared" si="106"/>
        <v>11252.496801728679</v>
      </c>
      <c r="L27" s="215">
        <f t="shared" si="106"/>
        <v>11206.320918506261</v>
      </c>
      <c r="M27" s="266">
        <f t="shared" si="106"/>
        <v>11367.284558564897</v>
      </c>
      <c r="N27" s="215">
        <f t="shared" si="106"/>
        <v>11406.787207765476</v>
      </c>
      <c r="O27" s="215">
        <f t="shared" si="106"/>
        <v>11444.219746175699</v>
      </c>
      <c r="P27" s="215">
        <f t="shared" si="106"/>
        <v>11480.765905002661</v>
      </c>
      <c r="Q27" s="215">
        <f t="shared" si="106"/>
        <v>11516.410043175245</v>
      </c>
      <c r="R27" s="215">
        <f t="shared" si="106"/>
        <v>11551.136791665389</v>
      </c>
      <c r="S27" s="215">
        <f t="shared" si="106"/>
        <v>11584.93106872136</v>
      </c>
      <c r="T27" s="215">
        <f t="shared" si="106"/>
        <v>11617.778094990152</v>
      </c>
      <c r="U27" s="215">
        <f t="shared" si="106"/>
        <v>11649.663408502634</v>
      </c>
      <c r="V27" s="215">
        <f t="shared" si="106"/>
        <v>11680.572879494919</v>
      </c>
      <c r="W27" s="215">
        <f t="shared" si="106"/>
        <v>11710.492725039165</v>
      </c>
      <c r="X27" s="215">
        <f t="shared" si="106"/>
        <v>11739.409523457109</v>
      </c>
      <c r="Y27" s="215">
        <f t="shared" si="106"/>
        <v>11767.310228489541</v>
      </c>
      <c r="Z27" s="215">
        <f t="shared" si="106"/>
        <v>11794.182183195058</v>
      </c>
      <c r="AA27" s="215">
        <f t="shared" si="106"/>
        <v>11820.013133551598</v>
      </c>
      <c r="AB27" s="215">
        <f t="shared" si="106"/>
        <v>11844.791241734461</v>
      </c>
      <c r="AC27" s="215">
        <f t="shared" si="106"/>
        <v>11868.505099044938</v>
      </c>
      <c r="AD27" s="215">
        <f t="shared" si="106"/>
        <v>11891.143738463934</v>
      </c>
      <c r="AE27" s="215">
        <f t="shared" ref="AE27:AN27" si="107">+AE25/AE14</f>
        <v>11912.696646805565</v>
      </c>
      <c r="AF27" s="215">
        <f t="shared" si="107"/>
        <v>11933.153776446208</v>
      </c>
      <c r="AG27" s="215">
        <f t="shared" si="107"/>
        <v>11952.505556605114</v>
      </c>
      <c r="AH27" s="215">
        <f t="shared" si="107"/>
        <v>11970.742904153412</v>
      </c>
      <c r="AI27" s="215">
        <f t="shared" si="107"/>
        <v>11987.85723392916</v>
      </c>
      <c r="AJ27" s="215">
        <f t="shared" si="107"/>
        <v>12003.84046853685</v>
      </c>
      <c r="AK27" s="215">
        <f t="shared" si="107"/>
        <v>12018.685047610817</v>
      </c>
      <c r="AL27" s="215">
        <f t="shared" si="107"/>
        <v>12032.383936522932</v>
      </c>
      <c r="AM27" s="215">
        <f t="shared" si="107"/>
        <v>12044.930634516033</v>
      </c>
      <c r="AN27" s="215">
        <f t="shared" si="107"/>
        <v>12056.319182245679</v>
      </c>
    </row>
    <row r="28" spans="2:40" x14ac:dyDescent="0.25">
      <c r="B28" t="s">
        <v>351</v>
      </c>
      <c r="G28" s="263">
        <v>7500</v>
      </c>
      <c r="H28" s="263">
        <v>7500</v>
      </c>
      <c r="I28" s="263">
        <v>7500</v>
      </c>
      <c r="J28" s="263">
        <v>7500</v>
      </c>
      <c r="K28" s="263">
        <v>7500</v>
      </c>
      <c r="L28" s="263">
        <v>7500</v>
      </c>
      <c r="M28" s="267">
        <v>7500</v>
      </c>
      <c r="N28" s="263">
        <v>7500</v>
      </c>
      <c r="O28" s="263">
        <v>7500</v>
      </c>
      <c r="P28" s="263">
        <v>7500</v>
      </c>
      <c r="Q28" s="263">
        <v>7500</v>
      </c>
      <c r="R28" s="263">
        <v>7500</v>
      </c>
      <c r="S28" s="263">
        <v>7500</v>
      </c>
      <c r="T28" s="263">
        <v>7500</v>
      </c>
      <c r="U28" s="263">
        <v>7500</v>
      </c>
      <c r="V28" s="263">
        <v>7500</v>
      </c>
      <c r="W28" s="263">
        <v>7500</v>
      </c>
      <c r="X28" s="263">
        <v>7500</v>
      </c>
      <c r="Y28" s="263">
        <v>7500</v>
      </c>
      <c r="Z28" s="263">
        <v>7500</v>
      </c>
      <c r="AA28" s="263">
        <v>7500</v>
      </c>
      <c r="AB28" s="263">
        <v>7500</v>
      </c>
      <c r="AC28" s="263">
        <v>7500</v>
      </c>
      <c r="AD28" s="263">
        <v>7500</v>
      </c>
      <c r="AE28" s="263">
        <v>7500</v>
      </c>
      <c r="AF28" s="263">
        <v>7500</v>
      </c>
      <c r="AG28" s="263">
        <v>7500</v>
      </c>
      <c r="AH28" s="263">
        <v>7500</v>
      </c>
      <c r="AI28" s="263">
        <v>7500</v>
      </c>
      <c r="AJ28" s="263">
        <v>7500</v>
      </c>
      <c r="AK28" s="263">
        <v>7500</v>
      </c>
      <c r="AL28" s="263">
        <v>7500</v>
      </c>
      <c r="AM28" s="263">
        <v>7500</v>
      </c>
      <c r="AN28" s="263">
        <v>7500</v>
      </c>
    </row>
    <row r="29" spans="2:40" x14ac:dyDescent="0.25">
      <c r="B29" t="s">
        <v>352</v>
      </c>
      <c r="G29" s="258">
        <f>+G27/G28</f>
        <v>1.5825338998706817</v>
      </c>
      <c r="H29" s="258">
        <f t="shared" ref="H29:AD29" si="108">+H27/H28</f>
        <v>1.5822865165110176</v>
      </c>
      <c r="I29" s="258">
        <f t="shared" si="108"/>
        <v>1.5811772405017268</v>
      </c>
      <c r="J29" s="258">
        <f t="shared" si="108"/>
        <v>1.401699734491914</v>
      </c>
      <c r="K29" s="258">
        <f t="shared" si="108"/>
        <v>1.5003329068971571</v>
      </c>
      <c r="L29" s="258">
        <f t="shared" si="108"/>
        <v>1.4941761224675014</v>
      </c>
      <c r="M29" s="271">
        <f t="shared" si="108"/>
        <v>1.5156379411419862</v>
      </c>
      <c r="N29" s="258">
        <f t="shared" si="108"/>
        <v>1.5209049610353969</v>
      </c>
      <c r="O29" s="258">
        <f t="shared" si="108"/>
        <v>1.5258959661567599</v>
      </c>
      <c r="P29" s="258">
        <f t="shared" si="108"/>
        <v>1.5307687873336882</v>
      </c>
      <c r="Q29" s="258">
        <f t="shared" si="108"/>
        <v>1.5355213390900326</v>
      </c>
      <c r="R29" s="258">
        <f t="shared" si="108"/>
        <v>1.5401515722220518</v>
      </c>
      <c r="S29" s="258">
        <f t="shared" si="108"/>
        <v>1.5446574758295146</v>
      </c>
      <c r="T29" s="258">
        <f t="shared" si="108"/>
        <v>1.5490370793320203</v>
      </c>
      <c r="U29" s="258">
        <f t="shared" si="108"/>
        <v>1.553288454467018</v>
      </c>
      <c r="V29" s="258">
        <f t="shared" si="108"/>
        <v>1.5574097172659893</v>
      </c>
      <c r="W29" s="258">
        <f t="shared" si="108"/>
        <v>1.5613990300052221</v>
      </c>
      <c r="X29" s="258">
        <f t="shared" si="108"/>
        <v>1.5652546031276144</v>
      </c>
      <c r="Y29" s="258">
        <f t="shared" si="108"/>
        <v>1.5689746971319389</v>
      </c>
      <c r="Z29" s="258">
        <f t="shared" si="108"/>
        <v>1.5725576244260078</v>
      </c>
      <c r="AA29" s="258">
        <f t="shared" si="108"/>
        <v>1.5760017511402131</v>
      </c>
      <c r="AB29" s="258">
        <f t="shared" si="108"/>
        <v>1.5793054988979283</v>
      </c>
      <c r="AC29" s="258">
        <f t="shared" si="108"/>
        <v>1.5824673465393251</v>
      </c>
      <c r="AD29" s="258">
        <f t="shared" si="108"/>
        <v>1.5854858317951912</v>
      </c>
      <c r="AE29" s="258">
        <f t="shared" ref="AE29" si="109">+AE27/AE28</f>
        <v>1.5883595529074086</v>
      </c>
      <c r="AF29" s="258">
        <f t="shared" ref="AF29" si="110">+AF27/AF28</f>
        <v>1.5910871701928277</v>
      </c>
      <c r="AG29" s="258">
        <f t="shared" ref="AG29" si="111">+AG27/AG28</f>
        <v>1.5936674075473485</v>
      </c>
      <c r="AH29" s="258">
        <f t="shared" ref="AH29" si="112">+AH27/AH28</f>
        <v>1.5960990538871216</v>
      </c>
      <c r="AI29" s="258">
        <f t="shared" ref="AI29" si="113">+AI27/AI28</f>
        <v>1.598380964523888</v>
      </c>
      <c r="AJ29" s="258">
        <f t="shared" ref="AJ29" si="114">+AJ27/AJ28</f>
        <v>1.6005120624715798</v>
      </c>
      <c r="AK29" s="258">
        <f t="shared" ref="AK29" si="115">+AK27/AK28</f>
        <v>1.6024913396814424</v>
      </c>
      <c r="AL29" s="258">
        <f t="shared" ref="AL29" si="116">+AL27/AL28</f>
        <v>1.6043178582030577</v>
      </c>
      <c r="AM29" s="258">
        <f t="shared" ref="AM29" si="117">+AM27/AM28</f>
        <v>1.6059907512688043</v>
      </c>
      <c r="AN29" s="258">
        <f t="shared" ref="AN29" si="118">+AN27/AN28</f>
        <v>1.607509224299424</v>
      </c>
    </row>
    <row r="30" spans="2:40" ht="2.1" customHeight="1" x14ac:dyDescent="0.25">
      <c r="B30" s="182"/>
      <c r="C30" s="182"/>
      <c r="D30" s="182"/>
      <c r="E30" s="182"/>
      <c r="F30" s="182"/>
      <c r="G30" s="262"/>
      <c r="H30" s="262"/>
      <c r="I30" s="262"/>
      <c r="J30" s="262"/>
      <c r="K30" s="262"/>
      <c r="L30" s="262"/>
      <c r="M30" s="27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</row>
    <row r="31" spans="2:40" x14ac:dyDescent="0.25">
      <c r="B31" s="5" t="s">
        <v>353</v>
      </c>
      <c r="C31" s="5"/>
      <c r="D31" s="5"/>
      <c r="E31" s="5"/>
      <c r="F31" s="5"/>
      <c r="G31" s="259">
        <f>+G29*G23</f>
        <v>427.83803983003872</v>
      </c>
      <c r="H31" s="259">
        <f t="shared" ref="H31:AD31" si="119">+H29*H23</f>
        <v>431.1522156967365</v>
      </c>
      <c r="I31" s="259">
        <f t="shared" si="119"/>
        <v>433.53900690071958</v>
      </c>
      <c r="J31" s="259">
        <f t="shared" si="119"/>
        <v>385.5638383132561</v>
      </c>
      <c r="K31" s="259">
        <f t="shared" si="119"/>
        <v>416.31706324660712</v>
      </c>
      <c r="L31" s="259">
        <f t="shared" si="119"/>
        <v>419.0787312322725</v>
      </c>
      <c r="M31" s="273">
        <f t="shared" si="119"/>
        <v>425.96513796563124</v>
      </c>
      <c r="N31" s="259">
        <f t="shared" si="119"/>
        <v>428.71692719919281</v>
      </c>
      <c r="O31" s="259">
        <f t="shared" si="119"/>
        <v>431.28135481082018</v>
      </c>
      <c r="P31" s="259">
        <f t="shared" si="119"/>
        <v>433.61957050986592</v>
      </c>
      <c r="Q31" s="259">
        <f t="shared" si="119"/>
        <v>435.68629111423695</v>
      </c>
      <c r="R31" s="259">
        <f t="shared" si="119"/>
        <v>437.42865292653937</v>
      </c>
      <c r="S31" s="259">
        <f t="shared" si="119"/>
        <v>438.78496197204731</v>
      </c>
      <c r="T31" s="259">
        <f t="shared" si="119"/>
        <v>439.68323905100533</v>
      </c>
      <c r="U31" s="259">
        <f t="shared" si="119"/>
        <v>440.0395260764019</v>
      </c>
      <c r="V31" s="259">
        <f t="shared" si="119"/>
        <v>439.75591471521159</v>
      </c>
      <c r="W31" s="259">
        <f t="shared" si="119"/>
        <v>438.71825201487394</v>
      </c>
      <c r="X31" s="259">
        <f t="shared" si="119"/>
        <v>436.7934703350092</v>
      </c>
      <c r="Y31" s="259">
        <f t="shared" si="119"/>
        <v>433.82648035173236</v>
      </c>
      <c r="Z31" s="259">
        <f t="shared" si="119"/>
        <v>429.63655596653365</v>
      </c>
      <c r="AA31" s="259">
        <f t="shared" si="119"/>
        <v>424.01312841083734</v>
      </c>
      <c r="AB31" s="259">
        <f t="shared" si="119"/>
        <v>417.22316189186478</v>
      </c>
      <c r="AC31" s="259">
        <f t="shared" si="119"/>
        <v>410.2605714727548</v>
      </c>
      <c r="AD31" s="259">
        <f t="shared" si="119"/>
        <v>403.73477821123419</v>
      </c>
      <c r="AE31" s="259">
        <f t="shared" ref="AE31" si="120">+AE29*AE23</f>
        <v>397.63655289378272</v>
      </c>
      <c r="AF31" s="259">
        <f t="shared" ref="AF31" si="121">+AF29*AF23</f>
        <v>391.95634831850225</v>
      </c>
      <c r="AG31" s="259">
        <f t="shared" ref="AG31" si="122">+AG29*AG23</f>
        <v>386.68433726971682</v>
      </c>
      <c r="AH31" s="259">
        <f t="shared" ref="AH31" si="123">+AH29*AH23</f>
        <v>381.81045018925016</v>
      </c>
      <c r="AI31" s="259">
        <f t="shared" ref="AI31" si="124">+AI29*AI23</f>
        <v>377.32441238043754</v>
      </c>
      <c r="AJ31" s="259">
        <f t="shared" ref="AJ31" si="125">+AJ29*AJ23</f>
        <v>373.21578058823337</v>
      </c>
      <c r="AK31" s="259">
        <f t="shared" ref="AK31" si="126">+AK29*AK23</f>
        <v>369.47397880697605</v>
      </c>
      <c r="AL31" s="259">
        <f t="shared" ref="AL31" si="127">+AL29*AL23</f>
        <v>366.08833317639892</v>
      </c>
      <c r="AM31" s="259">
        <f t="shared" ref="AM31" si="128">+AM29*AM23</f>
        <v>363.04810583622748</v>
      </c>
      <c r="AN31" s="259">
        <f t="shared" ref="AN31" si="129">+AN29*AN23</f>
        <v>360.34252762007412</v>
      </c>
    </row>
    <row r="32" spans="2:40" x14ac:dyDescent="0.25">
      <c r="B32" s="135" t="s">
        <v>274</v>
      </c>
      <c r="C32" s="135"/>
      <c r="D32" s="135"/>
      <c r="E32" s="135"/>
      <c r="F32" s="135"/>
      <c r="G32" s="274"/>
      <c r="H32" s="274">
        <f>+H31/G31-1</f>
        <v>7.7463328600102521E-3</v>
      </c>
      <c r="I32" s="274">
        <f t="shared" ref="I32:AN32" si="130">+I31/H31-1</f>
        <v>5.5358435306334108E-3</v>
      </c>
      <c r="J32" s="274">
        <f t="shared" si="130"/>
        <v>-0.11065940509120042</v>
      </c>
      <c r="K32" s="274">
        <f t="shared" si="130"/>
        <v>7.9761694115009885E-2</v>
      </c>
      <c r="L32" s="274">
        <f t="shared" si="130"/>
        <v>6.6335690498218192E-3</v>
      </c>
      <c r="M32" s="274">
        <f t="shared" si="130"/>
        <v>1.6432250601479348E-2</v>
      </c>
      <c r="N32" s="274">
        <f t="shared" si="130"/>
        <v>6.4601278092941694E-3</v>
      </c>
      <c r="O32" s="274">
        <f t="shared" si="130"/>
        <v>5.9816336816480575E-3</v>
      </c>
      <c r="P32" s="274">
        <f t="shared" si="130"/>
        <v>5.4215552630867414E-3</v>
      </c>
      <c r="Q32" s="274">
        <f t="shared" si="130"/>
        <v>4.7662069355884906E-3</v>
      </c>
      <c r="R32" s="274">
        <f t="shared" si="130"/>
        <v>3.9991201188507297E-3</v>
      </c>
      <c r="S32" s="274">
        <f t="shared" si="130"/>
        <v>3.1006406106088846E-3</v>
      </c>
      <c r="T32" s="274">
        <f t="shared" si="130"/>
        <v>2.0471920343871908E-3</v>
      </c>
      <c r="U32" s="274">
        <f t="shared" si="130"/>
        <v>8.1032660277324808E-4</v>
      </c>
      <c r="V32" s="274">
        <f t="shared" si="130"/>
        <v>-6.4451337751203486E-4</v>
      </c>
      <c r="W32" s="274">
        <f t="shared" si="130"/>
        <v>-2.3596333002358083E-3</v>
      </c>
      <c r="X32" s="274">
        <f t="shared" si="130"/>
        <v>-4.3872842559544711E-3</v>
      </c>
      <c r="Y32" s="274">
        <f t="shared" si="130"/>
        <v>-6.7926610281083821E-3</v>
      </c>
      <c r="Z32" s="274">
        <f t="shared" si="130"/>
        <v>-9.6580650904519727E-3</v>
      </c>
      <c r="AA32" s="274">
        <f t="shared" si="130"/>
        <v>-1.3088801401094807E-2</v>
      </c>
      <c r="AB32" s="274">
        <f t="shared" si="130"/>
        <v>-1.6013576146617803E-2</v>
      </c>
      <c r="AC32" s="274">
        <f t="shared" si="130"/>
        <v>-1.668792879939518E-2</v>
      </c>
      <c r="AD32" s="274">
        <f t="shared" si="130"/>
        <v>-1.5906459736294676E-2</v>
      </c>
      <c r="AE32" s="274">
        <f t="shared" si="130"/>
        <v>-1.5104533090931516E-2</v>
      </c>
      <c r="AF32" s="274">
        <f t="shared" si="130"/>
        <v>-1.4284915543963494E-2</v>
      </c>
      <c r="AG32" s="274">
        <f t="shared" si="130"/>
        <v>-1.3450505576456218E-2</v>
      </c>
      <c r="AH32" s="274">
        <f t="shared" si="130"/>
        <v>-1.2604304365881447E-2</v>
      </c>
      <c r="AI32" s="274">
        <f t="shared" si="130"/>
        <v>-1.1749384561342002E-2</v>
      </c>
      <c r="AJ32" s="274">
        <f t="shared" si="130"/>
        <v>-1.0888857591492496E-2</v>
      </c>
      <c r="AK32" s="274">
        <f t="shared" si="130"/>
        <v>-1.002584021329378E-2</v>
      </c>
      <c r="AL32" s="274">
        <f t="shared" si="130"/>
        <v>-9.1634210384972103E-3</v>
      </c>
      <c r="AM32" s="274">
        <f t="shared" si="130"/>
        <v>-8.3046277760141507E-3</v>
      </c>
      <c r="AN32" s="274">
        <f t="shared" si="130"/>
        <v>-7.4523959019741071E-3</v>
      </c>
    </row>
    <row r="33" spans="1:40" x14ac:dyDescent="0.25">
      <c r="AN33" s="274">
        <f>+AN31/M31-1</f>
        <v>-0.15405629357126371</v>
      </c>
    </row>
    <row r="34" spans="1:40" x14ac:dyDescent="0.25">
      <c r="H34" s="261" t="s">
        <v>355</v>
      </c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59"/>
    </row>
    <row r="35" spans="1:40" x14ac:dyDescent="0.25">
      <c r="H35" s="198" t="s">
        <v>369</v>
      </c>
      <c r="U35" s="148"/>
    </row>
    <row r="36" spans="1:40" x14ac:dyDescent="0.25">
      <c r="H36" s="260" t="s">
        <v>356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155"/>
    </row>
    <row r="37" spans="1:40" x14ac:dyDescent="0.25"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</row>
    <row r="38" spans="1:40" x14ac:dyDescent="0.25">
      <c r="H38" s="316" t="s">
        <v>370</v>
      </c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317"/>
    </row>
    <row r="39" spans="1:40" x14ac:dyDescent="0.25">
      <c r="H39" s="318" t="s">
        <v>371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155"/>
    </row>
    <row r="42" spans="1:40" x14ac:dyDescent="0.25">
      <c r="A42" t="s">
        <v>108</v>
      </c>
      <c r="B42" t="s">
        <v>376</v>
      </c>
    </row>
    <row r="44" spans="1:40" x14ac:dyDescent="0.25">
      <c r="B44" s="286" t="s">
        <v>358</v>
      </c>
      <c r="C44" s="355">
        <v>2023</v>
      </c>
      <c r="D44" s="340">
        <v>2025</v>
      </c>
      <c r="E44" s="340">
        <v>2030</v>
      </c>
      <c r="F44" s="340">
        <v>2035</v>
      </c>
      <c r="G44" s="340">
        <v>2040</v>
      </c>
      <c r="H44" s="340">
        <v>2045</v>
      </c>
      <c r="I44" s="340">
        <v>2050</v>
      </c>
    </row>
    <row r="45" spans="1:40" x14ac:dyDescent="0.25">
      <c r="B45" t="s">
        <v>342</v>
      </c>
      <c r="C45" s="356">
        <v>283.39999999999998</v>
      </c>
      <c r="D45" s="343">
        <v>287.09719999999999</v>
      </c>
      <c r="E45" s="343">
        <v>297.16776709138304</v>
      </c>
      <c r="F45" s="343">
        <v>308.28648689431674</v>
      </c>
      <c r="G45" s="343">
        <v>320.56245198489552</v>
      </c>
      <c r="H45" s="343">
        <v>334.11610938215688</v>
      </c>
      <c r="I45" s="343">
        <v>349.08044232762279</v>
      </c>
    </row>
    <row r="46" spans="1:40" x14ac:dyDescent="0.25">
      <c r="B46" t="s">
        <v>346</v>
      </c>
      <c r="C46" s="185">
        <v>15.5</v>
      </c>
      <c r="D46" s="184">
        <v>16.126200000000001</v>
      </c>
      <c r="E46" s="184">
        <v>17.804627848563843</v>
      </c>
      <c r="F46" s="184">
        <v>19.657747815719457</v>
      </c>
      <c r="G46" s="184">
        <v>21.703741997482588</v>
      </c>
      <c r="H46" s="184">
        <v>23.962684897026151</v>
      </c>
      <c r="I46" s="184">
        <v>26.456740387937145</v>
      </c>
    </row>
    <row r="47" spans="1:40" x14ac:dyDescent="0.25">
      <c r="B47" s="7" t="s">
        <v>375</v>
      </c>
      <c r="C47" s="364"/>
      <c r="D47" s="365">
        <f>+((D46/C46)^0.5)-1</f>
        <v>2.0000000000000018E-2</v>
      </c>
      <c r="E47" s="365">
        <f t="shared" ref="E47:I47" si="131">+((E46/D46)^0.2)-1</f>
        <v>2.0000000000000018E-2</v>
      </c>
      <c r="F47" s="365">
        <f t="shared" si="131"/>
        <v>2.0000000000000018E-2</v>
      </c>
      <c r="G47" s="365">
        <f t="shared" si="131"/>
        <v>2.0000000000000018E-2</v>
      </c>
      <c r="H47" s="365">
        <f t="shared" si="131"/>
        <v>2.0000000000000018E-2</v>
      </c>
      <c r="I47" s="365">
        <f t="shared" si="131"/>
        <v>2.0000000000000018E-2</v>
      </c>
    </row>
    <row r="48" spans="1:40" x14ac:dyDescent="0.25">
      <c r="B48" s="22" t="s">
        <v>343</v>
      </c>
      <c r="C48" s="358">
        <v>1.08</v>
      </c>
      <c r="D48" s="351">
        <v>1.7838781632000003</v>
      </c>
      <c r="E48" s="351">
        <v>6.2548769968484681</v>
      </c>
      <c r="F48" s="351">
        <v>16.709085643361536</v>
      </c>
      <c r="G48" s="351">
        <v>18.448180697860199</v>
      </c>
      <c r="H48" s="351">
        <v>20.368282162472227</v>
      </c>
      <c r="I48" s="351">
        <v>22.488229329746574</v>
      </c>
    </row>
    <row r="49" spans="2:9" x14ac:dyDescent="0.25">
      <c r="B49" s="7" t="s">
        <v>345</v>
      </c>
      <c r="C49" s="357">
        <v>6.9677419354838718E-2</v>
      </c>
      <c r="D49" s="350">
        <v>0.11061987096774195</v>
      </c>
      <c r="E49" s="350">
        <v>0.35130624745706207</v>
      </c>
      <c r="F49" s="350">
        <v>0.85</v>
      </c>
      <c r="G49" s="350">
        <v>0.85</v>
      </c>
      <c r="H49" s="350">
        <v>0.85</v>
      </c>
      <c r="I49" s="350">
        <v>0.85</v>
      </c>
    </row>
    <row r="50" spans="2:9" x14ac:dyDescent="0.25">
      <c r="B50" t="s">
        <v>344</v>
      </c>
      <c r="C50" s="185">
        <v>-13.699999999999989</v>
      </c>
      <c r="D50" s="184">
        <v>-14.191056000000001</v>
      </c>
      <c r="E50" s="184">
        <v>-15.668072506736182</v>
      </c>
      <c r="F50" s="184">
        <v>-17.298818077833122</v>
      </c>
      <c r="G50" s="184">
        <v>-19.099292957784677</v>
      </c>
      <c r="H50" s="184">
        <v>-21.087162709383012</v>
      </c>
      <c r="I50" s="184">
        <v>-23.281931541384687</v>
      </c>
    </row>
    <row r="51" spans="2:9" x14ac:dyDescent="0.25">
      <c r="B51" s="7" t="s">
        <v>348</v>
      </c>
      <c r="C51" s="357">
        <v>0.88387096774193474</v>
      </c>
      <c r="D51" s="350">
        <v>0.88</v>
      </c>
      <c r="E51" s="350">
        <v>0.88</v>
      </c>
      <c r="F51" s="350">
        <v>0.88</v>
      </c>
      <c r="G51" s="350">
        <v>0.88</v>
      </c>
      <c r="H51" s="350">
        <v>0.88</v>
      </c>
      <c r="I51" s="350">
        <v>0.88</v>
      </c>
    </row>
    <row r="52" spans="2:9" x14ac:dyDescent="0.25">
      <c r="B52" s="22" t="s">
        <v>341</v>
      </c>
      <c r="C52" s="359">
        <v>285.2</v>
      </c>
      <c r="D52" s="352">
        <v>289.03234399999997</v>
      </c>
      <c r="E52" s="352">
        <v>299.3043224332107</v>
      </c>
      <c r="F52" s="352">
        <v>310.64541663220308</v>
      </c>
      <c r="G52" s="352">
        <v>323.16690102459341</v>
      </c>
      <c r="H52" s="352">
        <v>336.99163156980001</v>
      </c>
      <c r="I52" s="352">
        <v>352.25525117417527</v>
      </c>
    </row>
    <row r="53" spans="2:9" x14ac:dyDescent="0.25">
      <c r="B53" s="279"/>
      <c r="C53" s="185"/>
      <c r="D53" s="184"/>
      <c r="E53" s="184"/>
      <c r="F53" s="184"/>
      <c r="G53" s="184"/>
      <c r="H53" s="184"/>
      <c r="I53" s="184"/>
    </row>
    <row r="54" spans="2:9" x14ac:dyDescent="0.25">
      <c r="B54" s="124" t="s">
        <v>350</v>
      </c>
      <c r="C54" s="362">
        <v>284.29999999999995</v>
      </c>
      <c r="D54" s="363">
        <v>288.06477199999995</v>
      </c>
      <c r="E54" s="363">
        <v>298.23604476229684</v>
      </c>
      <c r="F54" s="363">
        <v>309.46595176325991</v>
      </c>
      <c r="G54" s="363">
        <v>321.86467650474447</v>
      </c>
      <c r="H54" s="363">
        <v>335.55387047597844</v>
      </c>
      <c r="I54" s="363">
        <v>350.667846750899</v>
      </c>
    </row>
    <row r="55" spans="2:9" x14ac:dyDescent="0.25">
      <c r="C55" s="148"/>
    </row>
    <row r="56" spans="2:9" x14ac:dyDescent="0.25">
      <c r="B56" t="s">
        <v>458</v>
      </c>
      <c r="C56" s="358">
        <v>2.7804419805942668</v>
      </c>
      <c r="D56" s="351">
        <v>4.9322815440142591</v>
      </c>
      <c r="E56" s="351">
        <v>18.311243163341189</v>
      </c>
      <c r="F56" s="351">
        <v>63.80573510544103</v>
      </c>
      <c r="G56" s="351">
        <v>125.04137509647528</v>
      </c>
      <c r="H56" s="351">
        <v>176.36267433374505</v>
      </c>
      <c r="I56" s="351">
        <v>219.61450959970165</v>
      </c>
    </row>
    <row r="57" spans="2:9" x14ac:dyDescent="0.25">
      <c r="B57" t="s">
        <v>343</v>
      </c>
      <c r="C57" s="358">
        <v>1.08</v>
      </c>
      <c r="D57" s="351">
        <v>1.7838781632000003</v>
      </c>
      <c r="E57" s="351">
        <v>6.2548769968484681</v>
      </c>
      <c r="F57" s="351">
        <v>16.709085643361536</v>
      </c>
      <c r="G57" s="351">
        <v>18.448180697860199</v>
      </c>
      <c r="H57" s="351">
        <v>20.368282162472227</v>
      </c>
      <c r="I57" s="351">
        <v>22.488229329746574</v>
      </c>
    </row>
    <row r="58" spans="2:9" x14ac:dyDescent="0.25">
      <c r="B58" t="s">
        <v>459</v>
      </c>
      <c r="C58" s="358">
        <v>-0.13441092143310313</v>
      </c>
      <c r="D58" s="351">
        <v>-0.24379995206805508</v>
      </c>
      <c r="E58" s="351">
        <v>-0.96545425629382209</v>
      </c>
      <c r="F58" s="351">
        <v>-3.5803184726997603</v>
      </c>
      <c r="G58" s="351">
        <v>-7.4500361474785306</v>
      </c>
      <c r="H58" s="351">
        <v>-11.13082639569434</v>
      </c>
      <c r="I58" s="351">
        <v>-14.64719691513473</v>
      </c>
    </row>
    <row r="59" spans="2:9" x14ac:dyDescent="0.25">
      <c r="B59" t="s">
        <v>460</v>
      </c>
      <c r="C59" s="270">
        <v>3.7260310591611638</v>
      </c>
      <c r="D59" s="121">
        <v>6.4723597551462051</v>
      </c>
      <c r="E59" s="121">
        <v>23.600665903895834</v>
      </c>
      <c r="F59" s="121">
        <v>76.934502276102805</v>
      </c>
      <c r="G59" s="121">
        <v>136.03951964685695</v>
      </c>
      <c r="H59" s="121">
        <v>185.60013010052296</v>
      </c>
      <c r="I59" s="121">
        <v>227.45554201431347</v>
      </c>
    </row>
    <row r="60" spans="2:9" x14ac:dyDescent="0.25">
      <c r="B60" s="7" t="s">
        <v>347</v>
      </c>
      <c r="C60" s="360">
        <v>1.3064625032121894E-2</v>
      </c>
      <c r="D60" s="353">
        <v>2.2393202316299265E-2</v>
      </c>
      <c r="E60" s="353">
        <v>7.8851737629556912E-2</v>
      </c>
      <c r="F60" s="353">
        <v>0.24766018797306596</v>
      </c>
      <c r="G60" s="353">
        <v>0.42095746567964326</v>
      </c>
      <c r="H60" s="353">
        <v>0.55075590226364479</v>
      </c>
      <c r="I60" s="353">
        <v>0.64571228180739415</v>
      </c>
    </row>
    <row r="61" spans="2:9" x14ac:dyDescent="0.25">
      <c r="B61" s="283"/>
      <c r="C61" s="357"/>
      <c r="D61" s="350"/>
      <c r="E61" s="350"/>
      <c r="F61" s="350"/>
      <c r="G61" s="350"/>
      <c r="H61" s="350"/>
      <c r="I61" s="350"/>
    </row>
    <row r="62" spans="2:9" x14ac:dyDescent="0.25">
      <c r="B62" s="5" t="s">
        <v>357</v>
      </c>
      <c r="C62" s="362">
        <v>3.2532365198777153</v>
      </c>
      <c r="D62" s="363">
        <v>5.7023206495802317</v>
      </c>
      <c r="E62" s="363">
        <v>20.95595453361851</v>
      </c>
      <c r="F62" s="363">
        <v>70.370118690771918</v>
      </c>
      <c r="G62" s="363">
        <v>130.54044737166612</v>
      </c>
      <c r="H62" s="363">
        <v>180.98140221713402</v>
      </c>
      <c r="I62" s="363">
        <v>223.53502580700757</v>
      </c>
    </row>
    <row r="63" spans="2:9" x14ac:dyDescent="0.25">
      <c r="B63" s="5" t="s">
        <v>354</v>
      </c>
      <c r="C63" s="362">
        <v>281.04676348012225</v>
      </c>
      <c r="D63" s="363">
        <v>282.36245135041969</v>
      </c>
      <c r="E63" s="363">
        <v>277.28009022867832</v>
      </c>
      <c r="F63" s="363">
        <v>239.09583307248801</v>
      </c>
      <c r="G63" s="363">
        <v>191.32422913307835</v>
      </c>
      <c r="H63" s="363">
        <v>154.57246825884442</v>
      </c>
      <c r="I63" s="363">
        <v>127.13282094389143</v>
      </c>
    </row>
    <row r="64" spans="2:9" x14ac:dyDescent="0.25">
      <c r="C64" s="148"/>
    </row>
    <row r="65" spans="1:9" x14ac:dyDescent="0.25">
      <c r="B65" t="s">
        <v>340</v>
      </c>
      <c r="C65" s="185">
        <v>3231719</v>
      </c>
      <c r="D65" s="184">
        <v>3296676.5518999998</v>
      </c>
      <c r="E65" s="184">
        <v>3464840.1879759147</v>
      </c>
      <c r="F65" s="184">
        <v>3641581.8595530591</v>
      </c>
      <c r="G65" s="184">
        <v>3827339.1326521118</v>
      </c>
      <c r="H65" s="184">
        <v>4022571.8935583867</v>
      </c>
      <c r="I65" s="184">
        <v>4227763.4873796515</v>
      </c>
    </row>
    <row r="66" spans="1:9" x14ac:dyDescent="0.25">
      <c r="B66" s="7" t="s">
        <v>375</v>
      </c>
      <c r="C66" s="364"/>
      <c r="D66" s="365">
        <f>+((D65/C65)^0.5)-1</f>
        <v>1.0000000000000009E-2</v>
      </c>
      <c r="E66" s="365">
        <f t="shared" ref="E66:I66" si="132">+((E65/D65)^0.2)-1</f>
        <v>1.0000000000000009E-2</v>
      </c>
      <c r="F66" s="365">
        <f t="shared" si="132"/>
        <v>1.0000000000000009E-2</v>
      </c>
      <c r="G66" s="365">
        <f t="shared" si="132"/>
        <v>1.0000000000000009E-2</v>
      </c>
      <c r="H66" s="365">
        <f t="shared" si="132"/>
        <v>1.0000000000000009E-2</v>
      </c>
      <c r="I66" s="365">
        <f t="shared" si="132"/>
        <v>1.0000000000000009E-2</v>
      </c>
    </row>
    <row r="67" spans="1:9" x14ac:dyDescent="0.25">
      <c r="B67" t="s">
        <v>349</v>
      </c>
      <c r="C67" s="185">
        <v>11367.284558564897</v>
      </c>
      <c r="D67" s="184">
        <v>11444.219746175699</v>
      </c>
      <c r="E67" s="184">
        <v>11617.778094990152</v>
      </c>
      <c r="F67" s="184">
        <v>11767.310228489541</v>
      </c>
      <c r="G67" s="184">
        <v>11891.143738463934</v>
      </c>
      <c r="H67" s="184">
        <v>11987.85723392916</v>
      </c>
      <c r="I67" s="184">
        <v>12056.319182245679</v>
      </c>
    </row>
    <row r="68" spans="1:9" x14ac:dyDescent="0.25">
      <c r="B68" t="s">
        <v>351</v>
      </c>
      <c r="C68" s="185">
        <v>7500</v>
      </c>
      <c r="D68" s="184">
        <v>7500</v>
      </c>
      <c r="E68" s="184">
        <v>7500</v>
      </c>
      <c r="F68" s="184">
        <v>7500</v>
      </c>
      <c r="G68" s="184">
        <v>7500</v>
      </c>
      <c r="H68" s="184">
        <v>7500</v>
      </c>
      <c r="I68" s="184">
        <v>7500</v>
      </c>
    </row>
    <row r="69" spans="1:9" x14ac:dyDescent="0.25">
      <c r="B69" t="s">
        <v>352</v>
      </c>
      <c r="C69" s="361">
        <v>1.5156379411419862</v>
      </c>
      <c r="D69" s="354">
        <v>1.5258959661567599</v>
      </c>
      <c r="E69" s="354">
        <v>1.5490370793320203</v>
      </c>
      <c r="F69" s="354">
        <v>1.5689746971319389</v>
      </c>
      <c r="G69" s="354">
        <v>1.5854858317951912</v>
      </c>
      <c r="H69" s="354">
        <v>1.598380964523888</v>
      </c>
      <c r="I69" s="354">
        <v>1.607509224299424</v>
      </c>
    </row>
    <row r="70" spans="1:9" x14ac:dyDescent="0.25">
      <c r="B70" s="182"/>
      <c r="C70" s="271"/>
      <c r="D70" s="258"/>
      <c r="E70" s="258"/>
      <c r="F70" s="258"/>
      <c r="G70" s="258"/>
      <c r="H70" s="258"/>
      <c r="I70" s="258"/>
    </row>
    <row r="71" spans="1:9" x14ac:dyDescent="0.25">
      <c r="B71" s="5" t="s">
        <v>353</v>
      </c>
      <c r="C71" s="273">
        <v>425.96513796563124</v>
      </c>
      <c r="D71" s="259">
        <v>430.85572550973978</v>
      </c>
      <c r="E71" s="259">
        <v>429.51714112475094</v>
      </c>
      <c r="F71" s="259">
        <v>375.13531228041552</v>
      </c>
      <c r="G71" s="259">
        <v>303.34185456963246</v>
      </c>
      <c r="H71" s="259">
        <v>247.06569090440982</v>
      </c>
      <c r="I71" s="259">
        <v>204.36718237851247</v>
      </c>
    </row>
    <row r="72" spans="1:9" x14ac:dyDescent="0.25">
      <c r="B72" s="7" t="s">
        <v>375</v>
      </c>
      <c r="C72" s="364"/>
      <c r="D72" s="365">
        <f>+((D71/C71)^0.5)-1</f>
        <v>5.7242127059735637E-3</v>
      </c>
      <c r="E72" s="365">
        <f t="shared" ref="E72:I72" si="133">+((E71/D71)^0.2)-1</f>
        <v>-6.2213446456416133E-4</v>
      </c>
      <c r="F72" s="365">
        <f t="shared" si="133"/>
        <v>-2.6711729894281389E-2</v>
      </c>
      <c r="G72" s="365">
        <f t="shared" si="133"/>
        <v>-4.1595425180334544E-2</v>
      </c>
      <c r="H72" s="365">
        <f t="shared" si="133"/>
        <v>-4.0210442240725008E-2</v>
      </c>
      <c r="I72" s="365">
        <f t="shared" si="133"/>
        <v>-3.7236220128071373E-2</v>
      </c>
    </row>
    <row r="74" spans="1:9" x14ac:dyDescent="0.25">
      <c r="A74" t="s">
        <v>108</v>
      </c>
      <c r="B74" t="s">
        <v>377</v>
      </c>
    </row>
    <row r="76" spans="1:9" x14ac:dyDescent="0.25">
      <c r="B76" s="286" t="s">
        <v>358</v>
      </c>
      <c r="C76" s="368">
        <v>2023</v>
      </c>
      <c r="D76" s="366">
        <v>2025</v>
      </c>
      <c r="E76" s="366">
        <v>2030</v>
      </c>
      <c r="F76" s="366">
        <v>2035</v>
      </c>
      <c r="G76" s="366">
        <v>2040</v>
      </c>
      <c r="H76" s="366">
        <v>2045</v>
      </c>
      <c r="I76" s="370">
        <v>2050</v>
      </c>
    </row>
    <row r="77" spans="1:9" x14ac:dyDescent="0.25">
      <c r="B77" t="s">
        <v>342</v>
      </c>
      <c r="C77" s="185">
        <v>283.39999999999998</v>
      </c>
      <c r="D77" s="184">
        <v>287.09719999999999</v>
      </c>
      <c r="E77" s="184">
        <v>297.16776709138304</v>
      </c>
      <c r="F77" s="184">
        <v>308.28648689431674</v>
      </c>
      <c r="G77" s="184">
        <v>320.56245198489552</v>
      </c>
      <c r="H77" s="184">
        <v>334.11610938215688</v>
      </c>
      <c r="I77" s="215">
        <v>349.08044232762279</v>
      </c>
    </row>
    <row r="78" spans="1:9" x14ac:dyDescent="0.25">
      <c r="B78" t="s">
        <v>346</v>
      </c>
      <c r="C78" s="185">
        <v>15.5</v>
      </c>
      <c r="D78" s="184">
        <v>16.126200000000001</v>
      </c>
      <c r="E78" s="184">
        <v>17.804627848563843</v>
      </c>
      <c r="F78" s="184">
        <v>19.657747815719457</v>
      </c>
      <c r="G78" s="184">
        <v>21.703741997482588</v>
      </c>
      <c r="H78" s="184">
        <v>23.962684897026151</v>
      </c>
      <c r="I78" s="215">
        <v>26.456740387937145</v>
      </c>
    </row>
    <row r="79" spans="1:9" x14ac:dyDescent="0.25">
      <c r="B79" s="7" t="s">
        <v>375</v>
      </c>
      <c r="C79" s="357"/>
      <c r="D79" s="365">
        <f>+((D78/C78)^0.5)-1</f>
        <v>2.0000000000000018E-2</v>
      </c>
      <c r="E79" s="365">
        <f t="shared" ref="E79" si="134">+((E78/D78)^0.2)-1</f>
        <v>2.0000000000000018E-2</v>
      </c>
      <c r="F79" s="365">
        <f t="shared" ref="F79" si="135">+((F78/E78)^0.2)-1</f>
        <v>2.0000000000000018E-2</v>
      </c>
      <c r="G79" s="365">
        <f t="shared" ref="G79" si="136">+((G78/F78)^0.2)-1</f>
        <v>2.0000000000000018E-2</v>
      </c>
      <c r="H79" s="365">
        <f t="shared" ref="H79" si="137">+((H78/G78)^0.2)-1</f>
        <v>2.0000000000000018E-2</v>
      </c>
      <c r="I79" s="365">
        <f t="shared" ref="I79" si="138">+((I78/H78)^0.2)-1</f>
        <v>2.0000000000000018E-2</v>
      </c>
    </row>
    <row r="80" spans="1:9" x14ac:dyDescent="0.25">
      <c r="B80" s="22" t="s">
        <v>343</v>
      </c>
      <c r="C80" s="358">
        <v>1.08</v>
      </c>
      <c r="D80" s="351">
        <v>1.4731096428000006</v>
      </c>
      <c r="E80" s="351">
        <v>3.2008355697019333</v>
      </c>
      <c r="F80" s="351">
        <v>6.9549122798458773</v>
      </c>
      <c r="G80" s="351">
        <v>10.851870998741294</v>
      </c>
      <c r="H80" s="351">
        <v>11.981342448513075</v>
      </c>
      <c r="I80" s="265">
        <v>13.228370193968573</v>
      </c>
    </row>
    <row r="81" spans="2:9" x14ac:dyDescent="0.25">
      <c r="B81" s="7" t="s">
        <v>345</v>
      </c>
      <c r="C81" s="357">
        <v>6.9677419354838718E-2</v>
      </c>
      <c r="D81" s="350">
        <v>9.1348838709677443E-2</v>
      </c>
      <c r="E81" s="350">
        <v>0.17977548292086987</v>
      </c>
      <c r="F81" s="350">
        <v>0.35380005609209886</v>
      </c>
      <c r="G81" s="350">
        <v>0.5</v>
      </c>
      <c r="H81" s="350">
        <v>0.5</v>
      </c>
      <c r="I81" s="289">
        <v>0.5</v>
      </c>
    </row>
    <row r="82" spans="2:9" x14ac:dyDescent="0.25">
      <c r="B82" t="s">
        <v>344</v>
      </c>
      <c r="C82" s="185">
        <v>-13.699999999999989</v>
      </c>
      <c r="D82" s="184">
        <v>-14.191056000000001</v>
      </c>
      <c r="E82" s="184">
        <v>-15.668072506736182</v>
      </c>
      <c r="F82" s="184">
        <v>-17.298818077833122</v>
      </c>
      <c r="G82" s="184">
        <v>-19.099292957784677</v>
      </c>
      <c r="H82" s="184">
        <v>-21.087162709383012</v>
      </c>
      <c r="I82" s="215">
        <v>-23.281931541384687</v>
      </c>
    </row>
    <row r="83" spans="2:9" x14ac:dyDescent="0.25">
      <c r="B83" s="7" t="s">
        <v>348</v>
      </c>
      <c r="C83" s="357">
        <v>0.88387096774193474</v>
      </c>
      <c r="D83" s="350">
        <v>0.88</v>
      </c>
      <c r="E83" s="350">
        <v>0.88</v>
      </c>
      <c r="F83" s="350">
        <v>0.88</v>
      </c>
      <c r="G83" s="350">
        <v>0.88</v>
      </c>
      <c r="H83" s="350">
        <v>0.88</v>
      </c>
      <c r="I83" s="289">
        <v>0.88</v>
      </c>
    </row>
    <row r="84" spans="2:9" x14ac:dyDescent="0.25">
      <c r="B84" s="22" t="s">
        <v>341</v>
      </c>
      <c r="C84" s="185">
        <v>285.2</v>
      </c>
      <c r="D84" s="184">
        <v>289.03234399999997</v>
      </c>
      <c r="E84" s="184">
        <v>299.3043224332107</v>
      </c>
      <c r="F84" s="184">
        <v>310.64541663220308</v>
      </c>
      <c r="G84" s="184">
        <v>323.16690102459341</v>
      </c>
      <c r="H84" s="184">
        <v>336.99163156980001</v>
      </c>
      <c r="I84" s="215">
        <v>352.25525117417527</v>
      </c>
    </row>
    <row r="85" spans="2:9" x14ac:dyDescent="0.25">
      <c r="B85" s="279"/>
      <c r="C85" s="356"/>
      <c r="D85" s="343"/>
      <c r="E85" s="343"/>
      <c r="F85" s="343"/>
      <c r="G85" s="343"/>
      <c r="H85" s="343"/>
      <c r="I85" s="282"/>
    </row>
    <row r="86" spans="2:9" x14ac:dyDescent="0.25">
      <c r="B86" s="124" t="s">
        <v>350</v>
      </c>
      <c r="C86" s="362">
        <v>284.29999999999995</v>
      </c>
      <c r="D86" s="363">
        <v>288.06477199999995</v>
      </c>
      <c r="E86" s="363">
        <v>298.23604476229684</v>
      </c>
      <c r="F86" s="363">
        <v>309.46595176325991</v>
      </c>
      <c r="G86" s="363">
        <v>321.86467650474447</v>
      </c>
      <c r="H86" s="363">
        <v>335.55387047597844</v>
      </c>
      <c r="I86" s="217">
        <v>350.667846750899</v>
      </c>
    </row>
    <row r="87" spans="2:9" x14ac:dyDescent="0.25">
      <c r="C87" s="148"/>
    </row>
    <row r="88" spans="2:9" x14ac:dyDescent="0.25">
      <c r="B88" t="s">
        <v>458</v>
      </c>
      <c r="C88" s="358">
        <v>2.7804419805942668</v>
      </c>
      <c r="D88" s="351">
        <v>4.8055975440142591</v>
      </c>
      <c r="E88" s="351">
        <v>13.139063180148826</v>
      </c>
      <c r="F88" s="351">
        <v>30.336455480610663</v>
      </c>
      <c r="G88" s="351">
        <v>63.691937520178904</v>
      </c>
      <c r="H88" s="351">
        <v>96.543143454583898</v>
      </c>
      <c r="I88" s="265">
        <v>124.02764774896221</v>
      </c>
    </row>
    <row r="89" spans="2:9" x14ac:dyDescent="0.25">
      <c r="B89" t="s">
        <v>343</v>
      </c>
      <c r="C89" s="358">
        <v>1.08</v>
      </c>
      <c r="D89" s="351">
        <v>1.4731096428000006</v>
      </c>
      <c r="E89" s="351">
        <v>3.2008355697019333</v>
      </c>
      <c r="F89" s="351">
        <v>6.9549122798458773</v>
      </c>
      <c r="G89" s="351">
        <v>10.851870998741294</v>
      </c>
      <c r="H89" s="351">
        <v>11.981342448513075</v>
      </c>
      <c r="I89" s="265">
        <v>13.228370193968573</v>
      </c>
    </row>
    <row r="90" spans="2:9" x14ac:dyDescent="0.25">
      <c r="B90" t="s">
        <v>459</v>
      </c>
      <c r="C90" s="358">
        <v>-0.13441092143310313</v>
      </c>
      <c r="D90" s="351">
        <v>-0.23753803192984405</v>
      </c>
      <c r="E90" s="351">
        <v>-0.69275277259075552</v>
      </c>
      <c r="F90" s="351">
        <v>-1.702263468542065</v>
      </c>
      <c r="G90" s="351">
        <v>-3.7948018122975085</v>
      </c>
      <c r="H90" s="351">
        <v>-6.0931541980023933</v>
      </c>
      <c r="I90" s="265">
        <v>-8.2720280313504588</v>
      </c>
    </row>
    <row r="91" spans="2:9" x14ac:dyDescent="0.25">
      <c r="B91" t="s">
        <v>460</v>
      </c>
      <c r="C91" s="270">
        <v>3.7260310591611638</v>
      </c>
      <c r="D91" s="121">
        <v>6.0411691548844155</v>
      </c>
      <c r="E91" s="121">
        <v>15.647145977260005</v>
      </c>
      <c r="F91" s="121">
        <v>35.589104291914474</v>
      </c>
      <c r="G91" s="121">
        <v>70.749006706622694</v>
      </c>
      <c r="H91" s="121">
        <v>102.43133170509458</v>
      </c>
      <c r="I91" s="121">
        <v>128.98398991158032</v>
      </c>
    </row>
    <row r="92" spans="2:9" x14ac:dyDescent="0.25">
      <c r="B92" s="7" t="s">
        <v>347</v>
      </c>
      <c r="C92" s="357">
        <v>1.3064625032121894E-2</v>
      </c>
      <c r="D92" s="350">
        <v>2.0901360281271552E-2</v>
      </c>
      <c r="E92" s="350">
        <v>5.2278382918280915E-2</v>
      </c>
      <c r="F92" s="350">
        <v>0.11456503906526695</v>
      </c>
      <c r="G92" s="350">
        <v>0.21892404971646093</v>
      </c>
      <c r="H92" s="350">
        <v>0.30395808711314631</v>
      </c>
      <c r="I92" s="277">
        <v>0.36616626574518607</v>
      </c>
    </row>
    <row r="93" spans="2:9" x14ac:dyDescent="0.25">
      <c r="B93" s="283"/>
      <c r="C93" s="369"/>
      <c r="D93" s="367"/>
      <c r="E93" s="367"/>
      <c r="F93" s="367"/>
      <c r="G93" s="367"/>
      <c r="H93" s="367"/>
      <c r="I93" s="284"/>
    </row>
    <row r="94" spans="2:9" x14ac:dyDescent="0.25">
      <c r="B94" s="5" t="s">
        <v>357</v>
      </c>
      <c r="C94" s="362">
        <v>3.2532365198777153</v>
      </c>
      <c r="D94" s="363">
        <v>5.4233833494493373</v>
      </c>
      <c r="E94" s="363">
        <v>14.393104578704415</v>
      </c>
      <c r="F94" s="363">
        <v>32.962779886262567</v>
      </c>
      <c r="G94" s="363">
        <v>67.220472113400803</v>
      </c>
      <c r="H94" s="363">
        <v>99.487237579839245</v>
      </c>
      <c r="I94" s="217">
        <v>126.50581883027127</v>
      </c>
    </row>
    <row r="95" spans="2:9" x14ac:dyDescent="0.25">
      <c r="B95" s="5" t="s">
        <v>354</v>
      </c>
      <c r="C95" s="362">
        <v>281.04676348012225</v>
      </c>
      <c r="D95" s="363">
        <v>282.6413886505506</v>
      </c>
      <c r="E95" s="363">
        <v>283.84294018359242</v>
      </c>
      <c r="F95" s="363">
        <v>276.50317187699733</v>
      </c>
      <c r="G95" s="363">
        <v>254.64420439134366</v>
      </c>
      <c r="H95" s="363">
        <v>236.0666328961392</v>
      </c>
      <c r="I95" s="217">
        <v>224.16202792062774</v>
      </c>
    </row>
    <row r="96" spans="2:9" x14ac:dyDescent="0.25">
      <c r="C96" s="148"/>
    </row>
    <row r="97" spans="2:9" x14ac:dyDescent="0.25">
      <c r="B97" t="s">
        <v>340</v>
      </c>
      <c r="C97" s="185">
        <v>3231719</v>
      </c>
      <c r="D97" s="184">
        <v>3296676.5518999998</v>
      </c>
      <c r="E97" s="184">
        <v>3464840.1879759147</v>
      </c>
      <c r="F97" s="184">
        <v>3641581.8595530591</v>
      </c>
      <c r="G97" s="184">
        <v>3827339.1326521118</v>
      </c>
      <c r="H97" s="184">
        <v>4022571.8935583867</v>
      </c>
      <c r="I97" s="215">
        <v>4227763.4873796515</v>
      </c>
    </row>
    <row r="98" spans="2:9" x14ac:dyDescent="0.25">
      <c r="B98" s="7" t="s">
        <v>375</v>
      </c>
      <c r="C98" s="357"/>
      <c r="D98" s="365">
        <f>+((D97/C97)^0.5)-1</f>
        <v>1.0000000000000009E-2</v>
      </c>
      <c r="E98" s="365">
        <f t="shared" ref="E98" si="139">+((E97/D97)^0.2)-1</f>
        <v>1.0000000000000009E-2</v>
      </c>
      <c r="F98" s="365">
        <f t="shared" ref="F98" si="140">+((F97/E97)^0.2)-1</f>
        <v>1.0000000000000009E-2</v>
      </c>
      <c r="G98" s="365">
        <f t="shared" ref="G98" si="141">+((G97/F97)^0.2)-1</f>
        <v>1.0000000000000009E-2</v>
      </c>
      <c r="H98" s="365">
        <f t="shared" ref="H98" si="142">+((H97/G97)^0.2)-1</f>
        <v>1.0000000000000009E-2</v>
      </c>
      <c r="I98" s="365">
        <f t="shared" ref="I98" si="143">+((I97/H97)^0.2)-1</f>
        <v>1.0000000000000009E-2</v>
      </c>
    </row>
    <row r="99" spans="2:9" x14ac:dyDescent="0.25">
      <c r="B99" t="s">
        <v>349</v>
      </c>
      <c r="C99" s="185">
        <v>11367.284558564897</v>
      </c>
      <c r="D99" s="184">
        <v>11444.219746175699</v>
      </c>
      <c r="E99" s="184">
        <v>11617.778094990152</v>
      </c>
      <c r="F99" s="184">
        <v>11767.310228489541</v>
      </c>
      <c r="G99" s="184">
        <v>11891.143738463934</v>
      </c>
      <c r="H99" s="184">
        <v>11987.85723392916</v>
      </c>
      <c r="I99" s="215">
        <v>12056.319182245679</v>
      </c>
    </row>
    <row r="100" spans="2:9" x14ac:dyDescent="0.25">
      <c r="B100" t="s">
        <v>351</v>
      </c>
      <c r="C100" s="185">
        <v>7500</v>
      </c>
      <c r="D100" s="184">
        <v>7500</v>
      </c>
      <c r="E100" s="184">
        <v>7500</v>
      </c>
      <c r="F100" s="184">
        <v>7500</v>
      </c>
      <c r="G100" s="184">
        <v>7500</v>
      </c>
      <c r="H100" s="184">
        <v>7500</v>
      </c>
      <c r="I100" s="184">
        <v>7500</v>
      </c>
    </row>
    <row r="101" spans="2:9" x14ac:dyDescent="0.25">
      <c r="B101" t="s">
        <v>352</v>
      </c>
      <c r="C101" s="271">
        <v>1.5156379411419862</v>
      </c>
      <c r="D101" s="258">
        <v>1.5258959661567599</v>
      </c>
      <c r="E101" s="258">
        <v>1.5490370793320203</v>
      </c>
      <c r="F101" s="258">
        <v>1.5689746971319389</v>
      </c>
      <c r="G101" s="258">
        <v>1.5854858317951912</v>
      </c>
      <c r="H101" s="258">
        <v>1.598380964523888</v>
      </c>
      <c r="I101" s="258">
        <v>1.607509224299424</v>
      </c>
    </row>
    <row r="102" spans="2:9" x14ac:dyDescent="0.25">
      <c r="B102" s="182"/>
      <c r="C102" s="272"/>
      <c r="D102" s="262"/>
      <c r="E102" s="262"/>
      <c r="F102" s="262"/>
      <c r="G102" s="262"/>
      <c r="H102" s="262"/>
      <c r="I102" s="262"/>
    </row>
    <row r="103" spans="2:9" x14ac:dyDescent="0.25">
      <c r="B103" s="5" t="s">
        <v>353</v>
      </c>
      <c r="C103" s="273">
        <v>425.96513796563124</v>
      </c>
      <c r="D103" s="259">
        <v>431.28135481082018</v>
      </c>
      <c r="E103" s="259">
        <v>439.68323905100533</v>
      </c>
      <c r="F103" s="259">
        <v>433.82648035173236</v>
      </c>
      <c r="G103" s="259">
        <v>403.73477821123419</v>
      </c>
      <c r="H103" s="259">
        <v>377.32441238043754</v>
      </c>
      <c r="I103" s="259">
        <v>360.34252762007412</v>
      </c>
    </row>
    <row r="104" spans="2:9" x14ac:dyDescent="0.25">
      <c r="B104" s="7" t="s">
        <v>375</v>
      </c>
      <c r="C104" s="357"/>
      <c r="D104" s="365">
        <f>+((D103/C103)^0.5)-1</f>
        <v>6.2208523028302043E-3</v>
      </c>
      <c r="E104" s="365">
        <f t="shared" ref="E104" si="144">+((E103/D103)^0.2)-1</f>
        <v>3.8662314434181333E-3</v>
      </c>
      <c r="F104" s="365">
        <f t="shared" ref="F104" si="145">+((F103/E103)^0.2)-1</f>
        <v>-2.6783901173103031E-3</v>
      </c>
      <c r="G104" s="365">
        <f t="shared" ref="G104" si="146">+((G103/F103)^0.2)-1</f>
        <v>-1.4274433555773292E-2</v>
      </c>
      <c r="H104" s="365">
        <f t="shared" ref="H104" si="147">+((H103/G103)^0.2)-1</f>
        <v>-1.3439442330104745E-2</v>
      </c>
      <c r="I104" s="365">
        <f t="shared" ref="I104" si="148">+((I103/H103)^0.2)-1</f>
        <v>-9.1677739386857304E-3</v>
      </c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C5A27-06AF-4827-9958-BC792CB06964}">
  <sheetPr>
    <tabColor theme="1" tint="0.249977111117893"/>
  </sheetPr>
  <dimension ref="A1"/>
  <sheetViews>
    <sheetView showGridLines="0" workbookViewId="0">
      <selection activeCell="C5" sqref="C5"/>
    </sheetView>
  </sheetViews>
  <sheetFormatPr defaultColWidth="8.5703125" defaultRowHeight="15" x14ac:dyDescent="0.25"/>
  <cols>
    <col min="1" max="16384" width="8.5703125" style="64"/>
  </cols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57A09-0CA9-4D3C-AB8E-1B467A339957}">
  <dimension ref="A1:P46"/>
  <sheetViews>
    <sheetView showGridLines="0" workbookViewId="0">
      <selection activeCell="N26" sqref="N26"/>
    </sheetView>
  </sheetViews>
  <sheetFormatPr defaultColWidth="8.85546875" defaultRowHeight="15" x14ac:dyDescent="0.25"/>
  <cols>
    <col min="1" max="1" width="2.5703125" customWidth="1"/>
    <col min="2" max="2" width="20.7109375" customWidth="1"/>
    <col min="4" max="4" width="9.42578125" bestFit="1" customWidth="1"/>
    <col min="5" max="5" width="9.140625" bestFit="1" customWidth="1"/>
    <col min="8" max="8" width="11.85546875" bestFit="1" customWidth="1"/>
    <col min="9" max="9" width="0.42578125" customWidth="1"/>
    <col min="10" max="10" width="24.85546875" bestFit="1" customWidth="1"/>
    <col min="12" max="12" width="10.5703125" customWidth="1"/>
    <col min="13" max="13" width="0.42578125" customWidth="1"/>
    <col min="14" max="14" width="22.5703125" bestFit="1" customWidth="1"/>
    <col min="15" max="15" width="28.140625" bestFit="1" customWidth="1"/>
  </cols>
  <sheetData>
    <row r="1" spans="1:8" ht="2.1" customHeight="1" x14ac:dyDescent="0.25"/>
    <row r="2" spans="1:8" x14ac:dyDescent="0.25">
      <c r="A2" t="s">
        <v>108</v>
      </c>
      <c r="B2" t="s">
        <v>172</v>
      </c>
    </row>
    <row r="3" spans="1:8" x14ac:dyDescent="0.25">
      <c r="B3" s="96" t="s">
        <v>153</v>
      </c>
      <c r="C3" s="97"/>
      <c r="D3" s="97"/>
      <c r="E3" s="97"/>
      <c r="F3" s="97"/>
      <c r="G3" s="97"/>
      <c r="H3" s="97"/>
    </row>
    <row r="4" spans="1:8" ht="2.1" customHeight="1" x14ac:dyDescent="0.25"/>
    <row r="5" spans="1:8" x14ac:dyDescent="0.25">
      <c r="B5" s="98"/>
      <c r="C5" s="98" t="s">
        <v>155</v>
      </c>
      <c r="D5" s="98" t="s">
        <v>156</v>
      </c>
      <c r="E5" s="98" t="s">
        <v>457</v>
      </c>
      <c r="F5" s="303" t="s">
        <v>157</v>
      </c>
      <c r="G5" s="98" t="s">
        <v>158</v>
      </c>
      <c r="H5" s="98" t="s">
        <v>159</v>
      </c>
    </row>
    <row r="6" spans="1:8" ht="2.1" customHeight="1" x14ac:dyDescent="0.25">
      <c r="F6" s="304"/>
    </row>
    <row r="7" spans="1:8" x14ac:dyDescent="0.25">
      <c r="B7" t="s">
        <v>160</v>
      </c>
      <c r="C7" s="302">
        <v>7.4329999999999993E-2</v>
      </c>
      <c r="D7" s="101">
        <v>45394</v>
      </c>
      <c r="E7" s="21">
        <v>0</v>
      </c>
      <c r="F7" s="306">
        <v>100</v>
      </c>
      <c r="G7" s="100">
        <f ca="1">+YIELD(TODAY(),D7,C7,100,100,2)</f>
        <v>7.2826338407273608E-2</v>
      </c>
      <c r="H7" s="18">
        <f>+E7*F7/100</f>
        <v>0</v>
      </c>
    </row>
    <row r="8" spans="1:8" x14ac:dyDescent="0.25">
      <c r="B8" t="s">
        <v>154</v>
      </c>
      <c r="C8" s="302">
        <v>7.0690000000000003E-2</v>
      </c>
      <c r="D8" s="101">
        <v>45394</v>
      </c>
      <c r="E8" s="21">
        <v>463.1</v>
      </c>
      <c r="F8" s="306">
        <v>100</v>
      </c>
      <c r="G8" s="100">
        <f ca="1">+YIELD(TODAY(),D8,C8,F8,100,2)</f>
        <v>6.9328654830562678E-2</v>
      </c>
      <c r="H8" s="18">
        <f t="shared" ref="H8:H9" si="0">+E8*F8/100</f>
        <v>463.1</v>
      </c>
    </row>
    <row r="9" spans="1:8" x14ac:dyDescent="0.25">
      <c r="B9" t="s">
        <v>162</v>
      </c>
      <c r="C9" s="102">
        <v>3.6249999999999998E-2</v>
      </c>
      <c r="D9" s="101">
        <v>48014</v>
      </c>
      <c r="E9" s="21">
        <v>535</v>
      </c>
      <c r="F9" s="305">
        <v>85.43</v>
      </c>
      <c r="G9" s="100">
        <f ca="1">+YIELD(TODAY(),D9,C9,F9,100,2)</f>
        <v>6.1010848844687729E-2</v>
      </c>
      <c r="H9" s="18">
        <f t="shared" si="0"/>
        <v>457.05050000000006</v>
      </c>
    </row>
    <row r="10" spans="1:8" ht="14.45" customHeight="1" x14ac:dyDescent="0.25">
      <c r="B10" t="s">
        <v>161</v>
      </c>
      <c r="C10" s="102">
        <v>4.2500000000000003E-2</v>
      </c>
      <c r="D10" s="101">
        <v>47529</v>
      </c>
      <c r="E10" s="21">
        <v>600</v>
      </c>
      <c r="F10" s="305">
        <v>99.29</v>
      </c>
      <c r="G10" s="100">
        <f ca="1">+YIELD(TODAY(),D10,C10,F10,100,2)</f>
        <v>4.3841221114386444E-2</v>
      </c>
      <c r="H10" s="18">
        <f>+E10*F10/100</f>
        <v>595.74000000000012</v>
      </c>
    </row>
    <row r="11" spans="1:8" ht="14.45" customHeight="1" x14ac:dyDescent="0.25">
      <c r="C11" s="102"/>
      <c r="D11" s="101"/>
      <c r="E11" s="21"/>
      <c r="F11" s="305"/>
      <c r="G11" s="100"/>
      <c r="H11" s="18"/>
    </row>
    <row r="12" spans="1:8" ht="14.45" customHeight="1" x14ac:dyDescent="0.25">
      <c r="B12" s="103" t="s">
        <v>462</v>
      </c>
      <c r="C12" s="431"/>
      <c r="D12" s="432"/>
      <c r="E12" s="433"/>
      <c r="F12" s="434"/>
      <c r="G12" s="435"/>
      <c r="H12" s="436"/>
    </row>
    <row r="13" spans="1:8" ht="2.1" customHeight="1" x14ac:dyDescent="0.25">
      <c r="B13" s="182"/>
      <c r="C13" s="426"/>
      <c r="D13" s="427"/>
      <c r="E13" s="443"/>
      <c r="F13" s="428"/>
      <c r="G13" s="429"/>
      <c r="H13" s="430"/>
    </row>
    <row r="14" spans="1:8" ht="14.45" customHeight="1" x14ac:dyDescent="0.25">
      <c r="B14" s="437" t="s">
        <v>463</v>
      </c>
      <c r="D14" s="18">
        <v>40.700000000000003</v>
      </c>
      <c r="E14" s="444" t="s">
        <v>22</v>
      </c>
      <c r="F14" s="305"/>
      <c r="G14" s="100"/>
      <c r="H14" s="18">
        <v>37.200000000000003</v>
      </c>
    </row>
    <row r="15" spans="1:8" ht="14.45" customHeight="1" x14ac:dyDescent="0.25">
      <c r="B15" s="437" t="s">
        <v>464</v>
      </c>
      <c r="D15" s="184">
        <v>1309.4000000000001</v>
      </c>
      <c r="E15" s="444"/>
      <c r="F15" s="305"/>
      <c r="G15" s="100"/>
      <c r="H15" s="18"/>
    </row>
    <row r="16" spans="1:8" ht="14.45" customHeight="1" x14ac:dyDescent="0.25">
      <c r="B16" s="437" t="s">
        <v>219</v>
      </c>
      <c r="D16" s="184">
        <v>363.6</v>
      </c>
      <c r="E16" s="444" t="s">
        <v>219</v>
      </c>
      <c r="F16" s="305"/>
      <c r="G16" s="100"/>
      <c r="H16" s="352">
        <v>363.6</v>
      </c>
    </row>
    <row r="17" spans="2:14" ht="2.1" customHeight="1" x14ac:dyDescent="0.25">
      <c r="B17" s="438"/>
      <c r="C17" s="182"/>
      <c r="D17" s="343"/>
      <c r="E17" s="443"/>
      <c r="F17" s="428"/>
      <c r="G17" s="429"/>
      <c r="H17" s="348"/>
    </row>
    <row r="18" spans="2:14" ht="14.45" customHeight="1" x14ac:dyDescent="0.25">
      <c r="B18" s="439" t="s">
        <v>465</v>
      </c>
      <c r="C18" s="342"/>
      <c r="D18" s="440">
        <f>+(D15+8*D14)/(D16+D14)</f>
        <v>4.0440267128370024</v>
      </c>
      <c r="E18" s="447" t="s">
        <v>461</v>
      </c>
      <c r="F18" s="305"/>
      <c r="G18" s="100"/>
      <c r="H18" s="448">
        <f>+H16/H14</f>
        <v>9.7741935483870961</v>
      </c>
    </row>
    <row r="19" spans="2:14" ht="14.45" customHeight="1" x14ac:dyDescent="0.25">
      <c r="B19" s="442" t="s">
        <v>466</v>
      </c>
      <c r="D19" s="441" t="s">
        <v>467</v>
      </c>
      <c r="E19" s="445"/>
      <c r="F19" s="305"/>
      <c r="G19" s="100"/>
      <c r="H19" s="18"/>
    </row>
    <row r="20" spans="2:14" ht="14.45" customHeight="1" x14ac:dyDescent="0.25">
      <c r="B20" s="442"/>
      <c r="D20" s="441"/>
      <c r="E20" s="446"/>
      <c r="F20" s="305"/>
      <c r="G20" s="100"/>
      <c r="H20" s="18"/>
    </row>
    <row r="21" spans="2:14" ht="14.45" customHeight="1" x14ac:dyDescent="0.25">
      <c r="D21" s="297"/>
      <c r="E21" s="297"/>
      <c r="J21" s="96" t="s">
        <v>163</v>
      </c>
      <c r="K21" s="96"/>
      <c r="L21" s="96"/>
    </row>
    <row r="22" spans="2:14" ht="2.1" customHeight="1" x14ac:dyDescent="0.25">
      <c r="H22" s="18"/>
    </row>
    <row r="23" spans="2:14" x14ac:dyDescent="0.25">
      <c r="E23" s="18"/>
      <c r="H23" s="18"/>
      <c r="J23" t="s">
        <v>164</v>
      </c>
      <c r="L23" s="100">
        <f ca="1">+SUM(P43:P46)</f>
        <v>5.6974930763139593E-2</v>
      </c>
      <c r="N23" t="s">
        <v>165</v>
      </c>
    </row>
    <row r="24" spans="2:14" ht="14.45" customHeight="1" x14ac:dyDescent="0.25">
      <c r="H24" s="18"/>
      <c r="J24" s="3" t="s">
        <v>138</v>
      </c>
      <c r="K24" s="3"/>
      <c r="L24" s="105">
        <v>0.2</v>
      </c>
    </row>
    <row r="25" spans="2:14" ht="2.1" customHeight="1" x14ac:dyDescent="0.25">
      <c r="L25" s="107"/>
    </row>
    <row r="26" spans="2:14" x14ac:dyDescent="0.25">
      <c r="J26" s="5" t="s">
        <v>166</v>
      </c>
      <c r="K26" s="5"/>
      <c r="L26" s="106">
        <f ca="1">+L23*(1-L24)</f>
        <v>4.557994461051168E-2</v>
      </c>
    </row>
    <row r="28" spans="2:14" x14ac:dyDescent="0.25">
      <c r="J28" s="96" t="s">
        <v>167</v>
      </c>
      <c r="K28" s="96"/>
      <c r="L28" s="96"/>
    </row>
    <row r="29" spans="2:14" ht="2.1" customHeight="1" x14ac:dyDescent="0.25"/>
    <row r="30" spans="2:14" x14ac:dyDescent="0.25">
      <c r="J30" t="s">
        <v>169</v>
      </c>
      <c r="L30" s="102">
        <v>4.1200000000000001E-2</v>
      </c>
      <c r="N30" t="s">
        <v>203</v>
      </c>
    </row>
    <row r="31" spans="2:14" x14ac:dyDescent="0.25">
      <c r="J31" t="s">
        <v>168</v>
      </c>
      <c r="L31" s="28">
        <v>1.38</v>
      </c>
      <c r="N31" t="s">
        <v>171</v>
      </c>
    </row>
    <row r="32" spans="2:14" x14ac:dyDescent="0.25">
      <c r="J32" t="s">
        <v>170</v>
      </c>
      <c r="L32" s="109">
        <v>0.05</v>
      </c>
    </row>
    <row r="33" spans="10:16" ht="2.1" customHeight="1" x14ac:dyDescent="0.25">
      <c r="J33" s="108"/>
      <c r="K33" s="108"/>
      <c r="L33" s="108"/>
    </row>
    <row r="34" spans="10:16" x14ac:dyDescent="0.25">
      <c r="J34" s="5" t="s">
        <v>167</v>
      </c>
      <c r="K34" s="5"/>
      <c r="L34" s="106">
        <f>+L30+(L31*L32)</f>
        <v>0.11019999999999999</v>
      </c>
    </row>
    <row r="36" spans="10:16" x14ac:dyDescent="0.25">
      <c r="J36" s="96" t="s">
        <v>172</v>
      </c>
      <c r="K36" s="96"/>
      <c r="L36" s="96"/>
    </row>
    <row r="37" spans="10:16" ht="2.1" customHeight="1" x14ac:dyDescent="0.25"/>
    <row r="38" spans="10:16" x14ac:dyDescent="0.25">
      <c r="J38" t="s">
        <v>173</v>
      </c>
      <c r="L38" s="99">
        <f>+P39/P38</f>
        <v>0.33028604191883804</v>
      </c>
      <c r="O38" t="s">
        <v>175</v>
      </c>
      <c r="P38" s="315">
        <v>6278.8</v>
      </c>
    </row>
    <row r="39" spans="10:16" x14ac:dyDescent="0.25">
      <c r="J39" s="3" t="s">
        <v>174</v>
      </c>
      <c r="K39" s="3"/>
      <c r="L39" s="110">
        <f>1-L38</f>
        <v>0.66971395808116196</v>
      </c>
      <c r="O39" t="s">
        <v>176</v>
      </c>
      <c r="P39" s="315">
        <v>2073.8000000000002</v>
      </c>
    </row>
    <row r="40" spans="10:16" ht="2.1" customHeight="1" x14ac:dyDescent="0.25"/>
    <row r="41" spans="10:16" x14ac:dyDescent="0.25">
      <c r="J41" s="5" t="s">
        <v>172</v>
      </c>
      <c r="K41" s="5"/>
      <c r="L41" s="106">
        <f ca="1">+L38*L26+L39*L34</f>
        <v>8.8856897676829819E-2</v>
      </c>
      <c r="N41" t="s">
        <v>456</v>
      </c>
    </row>
    <row r="43" spans="10:16" x14ac:dyDescent="0.25">
      <c r="O43" t="s">
        <v>177</v>
      </c>
      <c r="P43" s="100">
        <f ca="1">+(E7/SUM($E$7:$E$10)*G7)</f>
        <v>0</v>
      </c>
    </row>
    <row r="44" spans="10:16" x14ac:dyDescent="0.25">
      <c r="P44" s="100">
        <f t="shared" ref="P44:P46" ca="1" si="1">+(E8/SUM($E$7:$E$10)*G8)</f>
        <v>2.0090169608931594E-2</v>
      </c>
    </row>
    <row r="45" spans="10:16" x14ac:dyDescent="0.25">
      <c r="P45" s="100">
        <f t="shared" ca="1" si="1"/>
        <v>2.042475698135782E-2</v>
      </c>
    </row>
    <row r="46" spans="10:16" x14ac:dyDescent="0.25">
      <c r="P46" s="100">
        <f t="shared" ca="1" si="1"/>
        <v>1.6460004172850179E-2</v>
      </c>
    </row>
  </sheetData>
  <pageMargins left="0.7" right="0.7" top="0.75" bottom="0.75" header="0.3" footer="0.3"/>
  <pageSetup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Cover</vt:lpstr>
      <vt:lpstr>Operating Build&gt;&gt;</vt:lpstr>
      <vt:lpstr>Assumptions</vt:lpstr>
      <vt:lpstr>Op Model</vt:lpstr>
      <vt:lpstr>Revenue Build</vt:lpstr>
      <vt:lpstr>Store Count Build</vt:lpstr>
      <vt:lpstr>TAM Build</vt:lpstr>
      <vt:lpstr>Valuation&gt;&gt;</vt:lpstr>
      <vt:lpstr>WACC</vt:lpstr>
      <vt:lpstr>DCF</vt:lpstr>
      <vt:lpstr>Reverse DCF</vt:lpstr>
      <vt:lpstr>Comps</vt:lpstr>
      <vt:lpstr>VVV Historicals&gt;&gt;</vt:lpstr>
      <vt:lpstr>Income Statement</vt:lpstr>
      <vt:lpstr>Balance Sheet</vt:lpstr>
      <vt:lpstr>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Burchett</dc:creator>
  <cp:lastModifiedBy>Shannon Burchett</cp:lastModifiedBy>
  <cp:lastPrinted>2024-01-18T18:39:56Z</cp:lastPrinted>
  <dcterms:created xsi:type="dcterms:W3CDTF">2023-12-26T18:58:09Z</dcterms:created>
  <dcterms:modified xsi:type="dcterms:W3CDTF">2024-01-23T01:45:57Z</dcterms:modified>
</cp:coreProperties>
</file>