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ar2\Downloads\"/>
    </mc:Choice>
  </mc:AlternateContent>
  <xr:revisionPtr revIDLastSave="0" documentId="8_{3E14EFCF-2621-4384-9A53-05912C2FB9CC}" xr6:coauthVersionLast="47" xr6:coauthVersionMax="47" xr10:uidLastSave="{00000000-0000-0000-0000-000000000000}"/>
  <bookViews>
    <workbookView xWindow="28680" yWindow="-120" windowWidth="29040" windowHeight="15720" activeTab="3" xr2:uid="{5B594E9E-9486-4A29-A12A-08F7F34CC6FF}"/>
  </bookViews>
  <sheets>
    <sheet name="MTD Master" sheetId="3" r:id="rId1"/>
    <sheet name="MTD Historicals" sheetId="1" r:id="rId2"/>
    <sheet name="Assumptions" sheetId="2" r:id="rId3"/>
    <sheet name="DCF" sheetId="4" r:id="rId4"/>
    <sheet name="Comp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1" i="2" l="1"/>
  <c r="K121" i="2"/>
  <c r="L121" i="2"/>
  <c r="M121" i="2"/>
  <c r="N121" i="2"/>
  <c r="I121" i="2"/>
  <c r="J157" i="2"/>
  <c r="K157" i="2"/>
  <c r="L157" i="2"/>
  <c r="M157" i="2"/>
  <c r="N157" i="2"/>
  <c r="I157" i="2"/>
  <c r="J158" i="2"/>
  <c r="K158" i="2"/>
  <c r="L158" i="2"/>
  <c r="M158" i="2"/>
  <c r="N158" i="2"/>
  <c r="I158" i="2"/>
  <c r="J128" i="2"/>
  <c r="K128" i="2"/>
  <c r="L128" i="2"/>
  <c r="M128" i="2"/>
  <c r="N128" i="2"/>
  <c r="I128" i="2"/>
  <c r="J127" i="2"/>
  <c r="K127" i="2"/>
  <c r="L127" i="2"/>
  <c r="M127" i="2"/>
  <c r="N127" i="2"/>
  <c r="I127" i="2"/>
  <c r="I122" i="2"/>
  <c r="J122" i="2"/>
  <c r="K122" i="2"/>
  <c r="L122" i="2"/>
  <c r="M122" i="2"/>
  <c r="N122" i="2"/>
  <c r="J116" i="2"/>
  <c r="K116" i="2"/>
  <c r="L116" i="2"/>
  <c r="M116" i="2"/>
  <c r="N116" i="2"/>
  <c r="I116" i="2"/>
  <c r="J115" i="2"/>
  <c r="K115" i="2"/>
  <c r="L115" i="2"/>
  <c r="M115" i="2"/>
  <c r="N115" i="2"/>
  <c r="I115" i="2"/>
  <c r="J103" i="2"/>
  <c r="K103" i="2"/>
  <c r="L103" i="2"/>
  <c r="M103" i="2"/>
  <c r="N103" i="2"/>
  <c r="I103" i="2"/>
  <c r="J102" i="2"/>
  <c r="K102" i="2"/>
  <c r="L102" i="2"/>
  <c r="M102" i="2"/>
  <c r="N102" i="2"/>
  <c r="I102" i="2"/>
  <c r="J90" i="2"/>
  <c r="K90" i="2"/>
  <c r="L90" i="2"/>
  <c r="M90" i="2"/>
  <c r="N90" i="2"/>
  <c r="I90" i="2"/>
  <c r="J89" i="2"/>
  <c r="K89" i="2"/>
  <c r="L89" i="2"/>
  <c r="M89" i="2"/>
  <c r="N89" i="2"/>
  <c r="I89" i="2"/>
  <c r="J58" i="2"/>
  <c r="K58" i="2"/>
  <c r="L58" i="2"/>
  <c r="M58" i="2"/>
  <c r="N58" i="2"/>
  <c r="J59" i="2"/>
  <c r="K59" i="2"/>
  <c r="L59" i="2"/>
  <c r="M59" i="2"/>
  <c r="N59" i="2"/>
  <c r="I59" i="2"/>
  <c r="I58" i="2"/>
  <c r="J64" i="2"/>
  <c r="K64" i="2"/>
  <c r="L64" i="2"/>
  <c r="M64" i="2"/>
  <c r="N64" i="2"/>
  <c r="J65" i="2"/>
  <c r="K65" i="2"/>
  <c r="L65" i="2"/>
  <c r="M65" i="2"/>
  <c r="N65" i="2"/>
  <c r="I64" i="2"/>
  <c r="I65" i="2"/>
  <c r="J77" i="2"/>
  <c r="K77" i="2"/>
  <c r="L77" i="2"/>
  <c r="M77" i="2"/>
  <c r="N77" i="2"/>
  <c r="J78" i="2"/>
  <c r="K78" i="2"/>
  <c r="L78" i="2"/>
  <c r="M78" i="2"/>
  <c r="N78" i="2"/>
  <c r="I78" i="2"/>
  <c r="I77" i="2"/>
  <c r="J72" i="2"/>
  <c r="K72" i="2"/>
  <c r="L72" i="2"/>
  <c r="M72" i="2"/>
  <c r="N72" i="2"/>
  <c r="J71" i="2"/>
  <c r="K71" i="2"/>
  <c r="L71" i="2"/>
  <c r="M71" i="2"/>
  <c r="N71" i="2"/>
  <c r="I71" i="2"/>
  <c r="I72" i="2"/>
  <c r="Q8" i="2"/>
  <c r="R8" i="2"/>
  <c r="S8" i="2"/>
  <c r="V8" i="2"/>
  <c r="W8" i="2" s="1"/>
  <c r="X8" i="2" s="1"/>
  <c r="Y8" i="2" s="1"/>
  <c r="U8" i="2"/>
  <c r="S9" i="2"/>
  <c r="R9" i="2"/>
  <c r="Q9" i="2"/>
  <c r="C8" i="4"/>
  <c r="D21" i="5"/>
  <c r="E21" i="5"/>
  <c r="F21" i="5"/>
  <c r="C21" i="5"/>
  <c r="D20" i="5"/>
  <c r="E20" i="5"/>
  <c r="F20" i="5"/>
  <c r="C20" i="5"/>
  <c r="C19" i="5"/>
  <c r="D19" i="5"/>
  <c r="E19" i="5"/>
  <c r="F19" i="5"/>
  <c r="C18" i="5"/>
  <c r="D18" i="5"/>
  <c r="E18" i="5"/>
  <c r="F18" i="5"/>
  <c r="O16" i="4" l="1"/>
  <c r="J16" i="4"/>
  <c r="K16" i="4"/>
  <c r="L16" i="4"/>
  <c r="M16" i="4"/>
  <c r="N16" i="4"/>
  <c r="J50" i="2"/>
  <c r="I50" i="2"/>
  <c r="E17" i="4"/>
  <c r="D17" i="4"/>
  <c r="D18" i="4"/>
  <c r="J27" i="1"/>
  <c r="K27" i="1" s="1"/>
  <c r="L27" i="1" s="1"/>
  <c r="M27" i="1" s="1"/>
  <c r="N27" i="1" s="1"/>
  <c r="I27" i="1"/>
  <c r="I24" i="1"/>
  <c r="J24" i="1" s="1"/>
  <c r="K24" i="1" s="1"/>
  <c r="L24" i="1" s="1"/>
  <c r="M24" i="1" s="1"/>
  <c r="N24" i="1" s="1"/>
  <c r="G4" i="1"/>
  <c r="U19" i="4"/>
  <c r="N12" i="2"/>
  <c r="N13" i="2"/>
  <c r="N18" i="2"/>
  <c r="N19" i="2"/>
  <c r="N24" i="2"/>
  <c r="N25" i="2"/>
  <c r="N32" i="2"/>
  <c r="N33" i="2"/>
  <c r="N38" i="2"/>
  <c r="N39" i="2"/>
  <c r="N44" i="2"/>
  <c r="N45" i="2"/>
  <c r="N96" i="2"/>
  <c r="N97" i="2"/>
  <c r="N134" i="2"/>
  <c r="N135" i="2"/>
  <c r="N142" i="2"/>
  <c r="N143" i="2"/>
  <c r="N148" i="2"/>
  <c r="N149" i="2"/>
  <c r="C45" i="4"/>
  <c r="C49" i="4"/>
  <c r="H50" i="2" l="1"/>
  <c r="G50" i="2"/>
  <c r="I47" i="1" l="1"/>
  <c r="J47" i="1" s="1"/>
  <c r="K47" i="1" s="1"/>
  <c r="L47" i="1" s="1"/>
  <c r="M47" i="1" s="1"/>
  <c r="N47" i="1" s="1"/>
  <c r="I46" i="1"/>
  <c r="J46" i="1" s="1"/>
  <c r="K46" i="1" s="1"/>
  <c r="L46" i="1" s="1"/>
  <c r="M46" i="1" s="1"/>
  <c r="N46" i="1" s="1"/>
  <c r="R19" i="4"/>
  <c r="G66" i="1"/>
  <c r="H66" i="1"/>
  <c r="H67" i="1" s="1"/>
  <c r="C12" i="4"/>
  <c r="C11" i="4"/>
  <c r="I49" i="1"/>
  <c r="J49" i="1" s="1"/>
  <c r="K49" i="1" s="1"/>
  <c r="L49" i="1" s="1"/>
  <c r="M49" i="1" s="1"/>
  <c r="N49" i="1" s="1"/>
  <c r="C10" i="4"/>
  <c r="G86" i="2"/>
  <c r="G87" i="2" s="1"/>
  <c r="H86" i="2"/>
  <c r="H87" i="2" s="1"/>
  <c r="F86" i="2"/>
  <c r="F87" i="2" s="1"/>
  <c r="G69" i="1"/>
  <c r="H69" i="1" s="1"/>
  <c r="H4" i="1"/>
  <c r="G30" i="1"/>
  <c r="H30" i="1" s="1"/>
  <c r="I30" i="1" s="1"/>
  <c r="J30" i="1" s="1"/>
  <c r="K30" i="1" s="1"/>
  <c r="L30" i="1" s="1"/>
  <c r="M30" i="1" s="1"/>
  <c r="N30" i="1" s="1"/>
  <c r="G6" i="2"/>
  <c r="H6" i="2" s="1"/>
  <c r="I6" i="2" s="1"/>
  <c r="J6" i="2" s="1"/>
  <c r="K6" i="2" s="1"/>
  <c r="L6" i="2" s="1"/>
  <c r="M6" i="2" s="1"/>
  <c r="N6" i="2" s="1"/>
  <c r="G53" i="2"/>
  <c r="H53" i="2" s="1"/>
  <c r="I53" i="2" s="1"/>
  <c r="J53" i="2" s="1"/>
  <c r="K53" i="2" s="1"/>
  <c r="L53" i="2" s="1"/>
  <c r="M53" i="2" s="1"/>
  <c r="N53" i="2" s="1"/>
  <c r="G92" i="2"/>
  <c r="H92" i="2" s="1"/>
  <c r="I92" i="2" s="1"/>
  <c r="J92" i="2" s="1"/>
  <c r="K92" i="2" s="1"/>
  <c r="L92" i="2" s="1"/>
  <c r="M92" i="2" s="1"/>
  <c r="N92" i="2" s="1"/>
  <c r="G110" i="2"/>
  <c r="H110" i="2" s="1"/>
  <c r="I110" i="2" s="1"/>
  <c r="J110" i="2" s="1"/>
  <c r="K110" i="2" s="1"/>
  <c r="L110" i="2" s="1"/>
  <c r="M110" i="2" s="1"/>
  <c r="N110" i="2" s="1"/>
  <c r="G153" i="2"/>
  <c r="H153" i="2" s="1"/>
  <c r="I153" i="2" s="1"/>
  <c r="J153" i="2" s="1"/>
  <c r="K153" i="2" s="1"/>
  <c r="L153" i="2" s="1"/>
  <c r="M153" i="2" s="1"/>
  <c r="N153" i="2" s="1"/>
  <c r="E16" i="4"/>
  <c r="F16" i="4" s="1"/>
  <c r="G16" i="4" s="1"/>
  <c r="H16" i="4" s="1"/>
  <c r="I16" i="4" s="1"/>
  <c r="D4" i="4"/>
  <c r="L134" i="2"/>
  <c r="M134" i="2"/>
  <c r="L135" i="2"/>
  <c r="M135" i="2"/>
  <c r="L142" i="2"/>
  <c r="M142" i="2"/>
  <c r="L143" i="2"/>
  <c r="M143" i="2"/>
  <c r="L148" i="2"/>
  <c r="M148" i="2"/>
  <c r="L149" i="2"/>
  <c r="M149" i="2"/>
  <c r="L96" i="2"/>
  <c r="M96" i="2"/>
  <c r="L97" i="2"/>
  <c r="M97" i="2"/>
  <c r="L44" i="2"/>
  <c r="M44" i="2"/>
  <c r="L45" i="2"/>
  <c r="M45" i="2"/>
  <c r="L38" i="2"/>
  <c r="M38" i="2"/>
  <c r="L39" i="2"/>
  <c r="M39" i="2"/>
  <c r="L32" i="2"/>
  <c r="M32" i="2"/>
  <c r="L33" i="2"/>
  <c r="M33" i="2"/>
  <c r="L24" i="2"/>
  <c r="M24" i="2"/>
  <c r="L25" i="2"/>
  <c r="M25" i="2"/>
  <c r="L18" i="2"/>
  <c r="M18" i="2"/>
  <c r="L19" i="2"/>
  <c r="M19" i="2"/>
  <c r="L12" i="2"/>
  <c r="M12" i="2"/>
  <c r="L13" i="2"/>
  <c r="M13" i="2"/>
  <c r="G154" i="2"/>
  <c r="G155" i="2" s="1"/>
  <c r="H154" i="2"/>
  <c r="H155" i="2" s="1"/>
  <c r="F154" i="2"/>
  <c r="F155" i="2" s="1"/>
  <c r="C51" i="4" l="1"/>
  <c r="U40" i="4"/>
  <c r="R40" i="4"/>
  <c r="I4" i="1"/>
  <c r="J4" i="1" s="1"/>
  <c r="K4" i="1" s="1"/>
  <c r="L4" i="1" s="1"/>
  <c r="M4" i="1" s="1"/>
  <c r="N4" i="1" s="1"/>
  <c r="C52" i="4"/>
  <c r="U37" i="4"/>
  <c r="R37" i="4"/>
  <c r="U38" i="4"/>
  <c r="R38" i="4"/>
  <c r="K149" i="2"/>
  <c r="J149" i="2"/>
  <c r="I149" i="2"/>
  <c r="K148" i="2"/>
  <c r="J148" i="2"/>
  <c r="I148" i="2"/>
  <c r="H145" i="2"/>
  <c r="H146" i="2" s="1"/>
  <c r="G145" i="2"/>
  <c r="G146" i="2" s="1"/>
  <c r="K143" i="2"/>
  <c r="J143" i="2"/>
  <c r="I143" i="2"/>
  <c r="K142" i="2"/>
  <c r="J142" i="2"/>
  <c r="I142" i="2"/>
  <c r="H139" i="2"/>
  <c r="H140" i="2" s="1"/>
  <c r="G139" i="2"/>
  <c r="G140" i="2" s="1"/>
  <c r="K135" i="2"/>
  <c r="J135" i="2"/>
  <c r="I135" i="2"/>
  <c r="K134" i="2"/>
  <c r="J134" i="2"/>
  <c r="I134" i="2"/>
  <c r="H131" i="2"/>
  <c r="H132" i="2" s="1"/>
  <c r="G131" i="2"/>
  <c r="G132" i="2" s="1"/>
  <c r="H124" i="2"/>
  <c r="H125" i="2" s="1"/>
  <c r="G124" i="2"/>
  <c r="G125" i="2" s="1"/>
  <c r="G118" i="2"/>
  <c r="G119" i="2" s="1"/>
  <c r="H118" i="2"/>
  <c r="H119" i="2" s="1"/>
  <c r="H112" i="2"/>
  <c r="H113" i="2" s="1"/>
  <c r="G112" i="2"/>
  <c r="G113" i="2" s="1"/>
  <c r="I9" i="2"/>
  <c r="J9" i="2" s="1"/>
  <c r="F5" i="2"/>
  <c r="E7" i="3"/>
  <c r="D35" i="4" s="1"/>
  <c r="H105" i="2"/>
  <c r="G105" i="2"/>
  <c r="G99" i="2"/>
  <c r="H99" i="2"/>
  <c r="H107" i="2" s="1"/>
  <c r="F99" i="2"/>
  <c r="K97" i="2"/>
  <c r="J97" i="2"/>
  <c r="I97" i="2"/>
  <c r="K96" i="2"/>
  <c r="J96" i="2"/>
  <c r="I96" i="2"/>
  <c r="G93" i="2"/>
  <c r="G94" i="2" s="1"/>
  <c r="H93" i="2"/>
  <c r="H106" i="2" s="1"/>
  <c r="F93" i="2"/>
  <c r="F94" i="2" s="1"/>
  <c r="G80" i="2"/>
  <c r="H80" i="2"/>
  <c r="F80" i="2"/>
  <c r="G74" i="2"/>
  <c r="G75" i="2" s="1"/>
  <c r="H74" i="2"/>
  <c r="H75" i="2" s="1"/>
  <c r="F74" i="2"/>
  <c r="F75" i="2" s="1"/>
  <c r="G68" i="2"/>
  <c r="G69" i="2" s="1"/>
  <c r="H68" i="2"/>
  <c r="H69" i="2" s="1"/>
  <c r="F68" i="2"/>
  <c r="F69" i="2" s="1"/>
  <c r="G62" i="2"/>
  <c r="H62" i="2"/>
  <c r="F62" i="2"/>
  <c r="G55" i="2"/>
  <c r="G56" i="2" s="1"/>
  <c r="H55" i="2"/>
  <c r="H56" i="2" s="1"/>
  <c r="F55" i="2"/>
  <c r="F56" i="2" s="1"/>
  <c r="I41" i="2"/>
  <c r="J41" i="2" s="1"/>
  <c r="I35" i="2"/>
  <c r="I29" i="2"/>
  <c r="I21" i="2"/>
  <c r="J21" i="2" s="1"/>
  <c r="I15" i="2"/>
  <c r="J15" i="2" s="1"/>
  <c r="K45" i="2"/>
  <c r="J45" i="2"/>
  <c r="I45" i="2"/>
  <c r="K44" i="2"/>
  <c r="J44" i="2"/>
  <c r="I44" i="2"/>
  <c r="K39" i="2"/>
  <c r="J39" i="2"/>
  <c r="I39" i="2"/>
  <c r="K38" i="2"/>
  <c r="J38" i="2"/>
  <c r="I38" i="2"/>
  <c r="K33" i="2"/>
  <c r="J33" i="2"/>
  <c r="I33" i="2"/>
  <c r="K32" i="2"/>
  <c r="J32" i="2"/>
  <c r="I32" i="2"/>
  <c r="K25" i="2"/>
  <c r="J25" i="2"/>
  <c r="I25" i="2"/>
  <c r="K24" i="2"/>
  <c r="J24" i="2"/>
  <c r="I24" i="2"/>
  <c r="I18" i="2"/>
  <c r="K19" i="2"/>
  <c r="J19" i="2"/>
  <c r="I19" i="2"/>
  <c r="K18" i="2"/>
  <c r="J18" i="2"/>
  <c r="J13" i="2"/>
  <c r="K13" i="2"/>
  <c r="I13" i="2"/>
  <c r="J12" i="2"/>
  <c r="K12" i="2"/>
  <c r="I12" i="2"/>
  <c r="H30" i="2"/>
  <c r="G30" i="2"/>
  <c r="H36" i="2"/>
  <c r="G36" i="2"/>
  <c r="G42" i="2"/>
  <c r="H42" i="2"/>
  <c r="H22" i="2"/>
  <c r="G22" i="2"/>
  <c r="H16" i="2"/>
  <c r="G16" i="2"/>
  <c r="H10" i="2"/>
  <c r="G10" i="2"/>
  <c r="C53" i="4" l="1"/>
  <c r="C54" i="4"/>
  <c r="E35" i="4"/>
  <c r="H94" i="2"/>
  <c r="F81" i="2"/>
  <c r="H81" i="2"/>
  <c r="G81" i="2"/>
  <c r="G100" i="2"/>
  <c r="F100" i="2"/>
  <c r="G107" i="2"/>
  <c r="H108" i="2"/>
  <c r="I105" i="2" s="1"/>
  <c r="H100" i="2"/>
  <c r="G106" i="2"/>
  <c r="J35" i="2"/>
  <c r="K35" i="2" s="1"/>
  <c r="L35" i="2" s="1"/>
  <c r="M35" i="2" s="1"/>
  <c r="N35" i="2" s="1"/>
  <c r="I27" i="2"/>
  <c r="I47" i="2"/>
  <c r="K41" i="2"/>
  <c r="L41" i="2" s="1"/>
  <c r="J29" i="2"/>
  <c r="K21" i="2"/>
  <c r="L21" i="2" s="1"/>
  <c r="K15" i="2"/>
  <c r="L15" i="2" s="1"/>
  <c r="M15" i="2" s="1"/>
  <c r="N15" i="2" s="1"/>
  <c r="C55" i="4" l="1"/>
  <c r="D36" i="4"/>
  <c r="F35" i="4"/>
  <c r="G108" i="2"/>
  <c r="M21" i="2"/>
  <c r="N21" i="2" s="1"/>
  <c r="M41" i="2"/>
  <c r="N41" i="2" s="1"/>
  <c r="I49" i="2"/>
  <c r="J47" i="2"/>
  <c r="I8" i="1"/>
  <c r="K9" i="2"/>
  <c r="L9" i="2" s="1"/>
  <c r="M9" i="2" s="1"/>
  <c r="N9" i="2" s="1"/>
  <c r="N27" i="2" s="1"/>
  <c r="J27" i="2"/>
  <c r="K29" i="2"/>
  <c r="L29" i="2" s="1"/>
  <c r="M29" i="2" s="1"/>
  <c r="N29" i="2" s="1"/>
  <c r="N47" i="2" s="1"/>
  <c r="E36" i="4" l="1"/>
  <c r="N49" i="2"/>
  <c r="G35" i="4"/>
  <c r="F36" i="4"/>
  <c r="J49" i="2"/>
  <c r="E18" i="4"/>
  <c r="M27" i="2"/>
  <c r="I18" i="4" s="1"/>
  <c r="L47" i="2"/>
  <c r="L27" i="2"/>
  <c r="M47" i="2"/>
  <c r="J8" i="1"/>
  <c r="K27" i="2"/>
  <c r="F18" i="4" s="1"/>
  <c r="K47" i="2"/>
  <c r="I17" i="4" l="1"/>
  <c r="N8" i="1"/>
  <c r="N55" i="2"/>
  <c r="N10" i="1" s="1"/>
  <c r="G18" i="4"/>
  <c r="H35" i="4"/>
  <c r="G36" i="4"/>
  <c r="H18" i="4"/>
  <c r="M49" i="2"/>
  <c r="L49" i="2"/>
  <c r="K49" i="2"/>
  <c r="G17" i="4" l="1"/>
  <c r="L50" i="2"/>
  <c r="F17" i="4"/>
  <c r="K50" i="2"/>
  <c r="M50" i="2"/>
  <c r="H17" i="4"/>
  <c r="N50" i="2"/>
  <c r="M8" i="1"/>
  <c r="M55" i="2"/>
  <c r="M10" i="1" s="1"/>
  <c r="I35" i="4"/>
  <c r="U21" i="4"/>
  <c r="H36" i="4"/>
  <c r="L8" i="1"/>
  <c r="K8" i="1"/>
  <c r="I36" i="4" l="1"/>
  <c r="J35" i="4"/>
  <c r="K35" i="4" l="1"/>
  <c r="J36" i="4"/>
  <c r="L35" i="4" l="1"/>
  <c r="K36" i="4"/>
  <c r="M35" i="4" l="1"/>
  <c r="L36" i="4"/>
  <c r="N35" i="4" l="1"/>
  <c r="R21" i="4" s="1"/>
  <c r="M36" i="4"/>
  <c r="N36" i="4" l="1"/>
  <c r="O35" i="4"/>
  <c r="O36" i="4" s="1"/>
  <c r="K113" i="2"/>
  <c r="K112" i="2" s="1"/>
  <c r="K33" i="1" s="1"/>
  <c r="I113" i="2"/>
  <c r="I112" i="2" s="1"/>
  <c r="I33" i="1" s="1"/>
  <c r="J113" i="2"/>
  <c r="J112" i="2" s="1"/>
  <c r="J33" i="1" s="1"/>
  <c r="L113" i="2"/>
  <c r="L112" i="2" s="1"/>
  <c r="L33" i="1" s="1"/>
  <c r="M113" i="2"/>
  <c r="M112" i="2" s="1"/>
  <c r="M33" i="1" s="1"/>
  <c r="N113" i="2"/>
  <c r="N112" i="2" s="1"/>
  <c r="N33" i="1" s="1"/>
  <c r="K56" i="2"/>
  <c r="K55" i="2" s="1"/>
  <c r="K10" i="1" s="1"/>
  <c r="L56" i="2"/>
  <c r="L55" i="2" s="1"/>
  <c r="L10" i="1" s="1"/>
  <c r="M62" i="2"/>
  <c r="M61" i="2" s="1"/>
  <c r="M11" i="1" s="1"/>
  <c r="M12" i="1" s="1"/>
  <c r="K81" i="2"/>
  <c r="K100" i="2"/>
  <c r="J56" i="2"/>
  <c r="J55" i="2"/>
  <c r="J10" i="1"/>
  <c r="M100" i="2"/>
  <c r="L81" i="2"/>
  <c r="L100" i="2"/>
  <c r="L99" i="2"/>
  <c r="L107" i="2"/>
  <c r="N62" i="2"/>
  <c r="N61" i="2"/>
  <c r="N11" i="1" s="1"/>
  <c r="N12" i="1" s="1"/>
  <c r="L87" i="2"/>
  <c r="L86" i="2" s="1"/>
  <c r="K94" i="2"/>
  <c r="K93" i="2" s="1"/>
  <c r="L155" i="2"/>
  <c r="L154" i="2" s="1"/>
  <c r="L16" i="1" s="1"/>
  <c r="M87" i="2"/>
  <c r="M86" i="2" s="1"/>
  <c r="M15" i="1" s="1"/>
  <c r="M81" i="2"/>
  <c r="M132" i="2"/>
  <c r="M131" i="2" s="1"/>
  <c r="M44" i="1" s="1"/>
  <c r="K87" i="2"/>
  <c r="K86" i="2" s="1"/>
  <c r="K15" i="1" s="1"/>
  <c r="K62" i="2"/>
  <c r="K61" i="2" s="1"/>
  <c r="K11" i="1" s="1"/>
  <c r="L69" i="2"/>
  <c r="L68" i="2" s="1"/>
  <c r="N100" i="2"/>
  <c r="K132" i="2"/>
  <c r="K131" i="2" s="1"/>
  <c r="K44" i="1" s="1"/>
  <c r="I56" i="2"/>
  <c r="I55" i="2"/>
  <c r="I10" i="1" s="1"/>
  <c r="K155" i="2"/>
  <c r="K154" i="2" s="1"/>
  <c r="K16" i="1" s="1"/>
  <c r="L94" i="2"/>
  <c r="L93" i="2"/>
  <c r="G30" i="4" s="1"/>
  <c r="L62" i="2"/>
  <c r="L61" i="2" s="1"/>
  <c r="L11" i="1" s="1"/>
  <c r="L132" i="2"/>
  <c r="L131" i="2" s="1"/>
  <c r="L44" i="1" s="1"/>
  <c r="M94" i="2"/>
  <c r="M93" i="2"/>
  <c r="M106" i="2" s="1"/>
  <c r="K69" i="2"/>
  <c r="K68" i="2" s="1"/>
  <c r="M69" i="2"/>
  <c r="M68" i="2" s="1"/>
  <c r="J81" i="2"/>
  <c r="J100" i="2"/>
  <c r="I132" i="2"/>
  <c r="I131" i="2" s="1"/>
  <c r="I44" i="1" s="1"/>
  <c r="N94" i="2"/>
  <c r="N93" i="2"/>
  <c r="N106" i="2" s="1"/>
  <c r="I100" i="2"/>
  <c r="N132" i="2"/>
  <c r="N131" i="2" s="1"/>
  <c r="N44" i="1" s="1"/>
  <c r="N69" i="2"/>
  <c r="N68" i="2"/>
  <c r="N13" i="1" s="1"/>
  <c r="J155" i="2"/>
  <c r="J154" i="2" s="1"/>
  <c r="J16" i="1" s="1"/>
  <c r="I146" i="2"/>
  <c r="I145" i="2" s="1"/>
  <c r="I45" i="1" s="1"/>
  <c r="I81" i="2"/>
  <c r="I80" i="2" s="1"/>
  <c r="I17" i="1" s="1"/>
  <c r="I87" i="2"/>
  <c r="I86" i="2" s="1"/>
  <c r="I15" i="1" s="1"/>
  <c r="I155" i="2"/>
  <c r="I154" i="2" s="1"/>
  <c r="I16" i="1" s="1"/>
  <c r="J62" i="2"/>
  <c r="J61" i="2" s="1"/>
  <c r="J11" i="1" s="1"/>
  <c r="J69" i="2"/>
  <c r="J68" i="2"/>
  <c r="U9" i="2" s="1"/>
  <c r="J87" i="2"/>
  <c r="J86" i="2" s="1"/>
  <c r="J15" i="1" s="1"/>
  <c r="I94" i="2"/>
  <c r="I93" i="2" s="1"/>
  <c r="J94" i="2"/>
  <c r="J93" i="2" s="1"/>
  <c r="I69" i="2"/>
  <c r="I68" i="2" s="1"/>
  <c r="I62" i="2"/>
  <c r="I61" i="2" s="1"/>
  <c r="I11" i="1" s="1"/>
  <c r="N42" i="2"/>
  <c r="M140" i="2"/>
  <c r="M139" i="2" s="1"/>
  <c r="M48" i="1" s="1"/>
  <c r="N140" i="2"/>
  <c r="N139" i="2" s="1"/>
  <c r="N48" i="1" s="1"/>
  <c r="K146" i="2"/>
  <c r="K145" i="2" s="1"/>
  <c r="K45" i="1" s="1"/>
  <c r="N81" i="2"/>
  <c r="J16" i="2"/>
  <c r="M36" i="2"/>
  <c r="I140" i="2"/>
  <c r="I139" i="2" s="1"/>
  <c r="I48" i="1" s="1"/>
  <c r="N36" i="2"/>
  <c r="K125" i="2"/>
  <c r="K124" i="2" s="1"/>
  <c r="K35" i="1" s="1"/>
  <c r="I22" i="2"/>
  <c r="L22" i="2"/>
  <c r="N30" i="2"/>
  <c r="J75" i="2"/>
  <c r="J74" i="2" s="1"/>
  <c r="J14" i="1" s="1"/>
  <c r="M42" i="2"/>
  <c r="N87" i="2"/>
  <c r="N86" i="2" s="1"/>
  <c r="N15" i="1" s="1"/>
  <c r="K75" i="2"/>
  <c r="K74" i="2" s="1"/>
  <c r="K14" i="1" s="1"/>
  <c r="L42" i="2"/>
  <c r="I75" i="2"/>
  <c r="I74" i="2" s="1"/>
  <c r="I14" i="1" s="1"/>
  <c r="N125" i="2"/>
  <c r="N124" i="2" s="1"/>
  <c r="N35" i="1" s="1"/>
  <c r="N155" i="2"/>
  <c r="N154" i="2" s="1"/>
  <c r="N16" i="1" s="1"/>
  <c r="M22" i="2"/>
  <c r="L30" i="2"/>
  <c r="I30" i="2"/>
  <c r="N22" i="2"/>
  <c r="J22" i="2"/>
  <c r="L36" i="2"/>
  <c r="N146" i="2"/>
  <c r="N145" i="2" s="1"/>
  <c r="N45" i="1" s="1"/>
  <c r="I16" i="2"/>
  <c r="K42" i="2"/>
  <c r="I125" i="2"/>
  <c r="I124" i="2" s="1"/>
  <c r="I35" i="1" s="1"/>
  <c r="K140" i="2"/>
  <c r="K139" i="2" s="1"/>
  <c r="K48" i="1" s="1"/>
  <c r="L10" i="2"/>
  <c r="K36" i="2"/>
  <c r="I36" i="2"/>
  <c r="L140" i="2"/>
  <c r="L139" i="2" s="1"/>
  <c r="L48" i="1" s="1"/>
  <c r="J30" i="2"/>
  <c r="L16" i="2"/>
  <c r="J146" i="2"/>
  <c r="J145" i="2" s="1"/>
  <c r="J45" i="1" s="1"/>
  <c r="M146" i="2"/>
  <c r="M145" i="2" s="1"/>
  <c r="M45" i="1" s="1"/>
  <c r="M75" i="2"/>
  <c r="M74" i="2" s="1"/>
  <c r="M14" i="1" s="1"/>
  <c r="L75" i="2"/>
  <c r="L74" i="2" s="1"/>
  <c r="L14" i="1" s="1"/>
  <c r="J42" i="2"/>
  <c r="K30" i="2"/>
  <c r="J140" i="2"/>
  <c r="J139" i="2" s="1"/>
  <c r="J48" i="1" s="1"/>
  <c r="J132" i="2"/>
  <c r="J131" i="2"/>
  <c r="J44" i="1"/>
  <c r="J125" i="2"/>
  <c r="J124" i="2" s="1"/>
  <c r="J35" i="1" s="1"/>
  <c r="L146" i="2"/>
  <c r="L145" i="2" s="1"/>
  <c r="L45" i="1" s="1"/>
  <c r="L125" i="2"/>
  <c r="L124" i="2" s="1"/>
  <c r="L35" i="1" s="1"/>
  <c r="K10" i="2"/>
  <c r="I42" i="2"/>
  <c r="I10" i="2"/>
  <c r="M155" i="2"/>
  <c r="M154" i="2" s="1"/>
  <c r="M16" i="1" s="1"/>
  <c r="M125" i="2"/>
  <c r="M124" i="2" s="1"/>
  <c r="M35" i="1" s="1"/>
  <c r="J10" i="2"/>
  <c r="J36" i="2"/>
  <c r="M30" i="2"/>
  <c r="N75" i="2"/>
  <c r="N74" i="2" s="1"/>
  <c r="N14" i="1" s="1"/>
  <c r="K22" i="2"/>
  <c r="F11" i="3"/>
  <c r="E5" i="2" s="1"/>
  <c r="H30" i="4" l="1"/>
  <c r="M13" i="1"/>
  <c r="X9" i="2"/>
  <c r="K13" i="1"/>
  <c r="V9" i="2"/>
  <c r="J106" i="2"/>
  <c r="E30" i="4"/>
  <c r="I106" i="2"/>
  <c r="D30" i="4"/>
  <c r="K106" i="2"/>
  <c r="K99" i="2"/>
  <c r="F21" i="4" s="1"/>
  <c r="F29" i="4" s="1"/>
  <c r="J80" i="2"/>
  <c r="J17" i="1" s="1"/>
  <c r="I13" i="1"/>
  <c r="D20" i="4" s="1"/>
  <c r="T9" i="2"/>
  <c r="J12" i="1"/>
  <c r="L50" i="1"/>
  <c r="J13" i="1"/>
  <c r="E20" i="4" s="1"/>
  <c r="I30" i="4"/>
  <c r="K107" i="2"/>
  <c r="G19" i="4"/>
  <c r="N99" i="2"/>
  <c r="I21" i="4" s="1"/>
  <c r="K80" i="2"/>
  <c r="K17" i="1" s="1"/>
  <c r="F20" i="4" s="1"/>
  <c r="M80" i="2"/>
  <c r="M17" i="1" s="1"/>
  <c r="H20" i="4" s="1"/>
  <c r="L80" i="2"/>
  <c r="L17" i="1" s="1"/>
  <c r="N80" i="2"/>
  <c r="N17" i="1" s="1"/>
  <c r="N19" i="1" s="1"/>
  <c r="N20" i="1" s="1"/>
  <c r="I27" i="4" s="1"/>
  <c r="J99" i="2"/>
  <c r="J107" i="2" s="1"/>
  <c r="L15" i="1"/>
  <c r="G21" i="4"/>
  <c r="I12" i="1"/>
  <c r="I50" i="1"/>
  <c r="K50" i="1"/>
  <c r="W9" i="2"/>
  <c r="L13" i="1"/>
  <c r="M50" i="1"/>
  <c r="J50" i="1"/>
  <c r="N50" i="1"/>
  <c r="L12" i="1"/>
  <c r="K12" i="1"/>
  <c r="F19" i="4"/>
  <c r="Y9" i="2"/>
  <c r="F30" i="4"/>
  <c r="C4" i="4"/>
  <c r="L106" i="2"/>
  <c r="H19" i="4"/>
  <c r="M99" i="2"/>
  <c r="D19" i="4"/>
  <c r="E19" i="4"/>
  <c r="I99" i="2"/>
  <c r="I19" i="4"/>
  <c r="J19" i="1" l="1"/>
  <c r="K19" i="1"/>
  <c r="F22" i="4"/>
  <c r="F23" i="4" s="1"/>
  <c r="I20" i="4"/>
  <c r="F24" i="4"/>
  <c r="F25" i="4" s="1"/>
  <c r="I19" i="1"/>
  <c r="I20" i="1" s="1"/>
  <c r="D27" i="4" s="1"/>
  <c r="N107" i="2"/>
  <c r="M19" i="1"/>
  <c r="G20" i="4"/>
  <c r="G22" i="4" s="1"/>
  <c r="G23" i="4" s="1"/>
  <c r="E21" i="4"/>
  <c r="E29" i="4" s="1"/>
  <c r="I22" i="4"/>
  <c r="I23" i="4" s="1"/>
  <c r="E22" i="4"/>
  <c r="I24" i="4"/>
  <c r="I29" i="4"/>
  <c r="I107" i="2"/>
  <c r="I108" i="2" s="1"/>
  <c r="D21" i="4"/>
  <c r="M107" i="2"/>
  <c r="H21" i="4"/>
  <c r="M20" i="1"/>
  <c r="H27" i="4" s="1"/>
  <c r="E23" i="4"/>
  <c r="H22" i="4"/>
  <c r="K20" i="1"/>
  <c r="F27" i="4" s="1"/>
  <c r="J20" i="1"/>
  <c r="E27" i="4" s="1"/>
  <c r="L19" i="1"/>
  <c r="N21" i="1"/>
  <c r="G24" i="4"/>
  <c r="G29" i="4"/>
  <c r="E24" i="4" l="1"/>
  <c r="E25" i="4" s="1"/>
  <c r="G25" i="4"/>
  <c r="I21" i="1"/>
  <c r="I23" i="1" s="1"/>
  <c r="K21" i="1"/>
  <c r="I25" i="4"/>
  <c r="G26" i="4"/>
  <c r="H29" i="4"/>
  <c r="H24" i="4"/>
  <c r="H25" i="4" s="1"/>
  <c r="J21" i="1"/>
  <c r="H23" i="4"/>
  <c r="E26" i="4"/>
  <c r="E28" i="4"/>
  <c r="D29" i="4"/>
  <c r="D24" i="4"/>
  <c r="D22" i="4"/>
  <c r="I28" i="4"/>
  <c r="I26" i="4"/>
  <c r="K23" i="1"/>
  <c r="K26" i="1"/>
  <c r="M21" i="1"/>
  <c r="I37" i="1"/>
  <c r="J105" i="2"/>
  <c r="J108" i="2" s="1"/>
  <c r="N26" i="1"/>
  <c r="N23" i="1"/>
  <c r="L20" i="1"/>
  <c r="G27" i="4" s="1"/>
  <c r="F28" i="4"/>
  <c r="F26" i="4"/>
  <c r="G28" i="4" l="1"/>
  <c r="I26" i="1"/>
  <c r="J37" i="1"/>
  <c r="K105" i="2"/>
  <c r="K108" i="2" s="1"/>
  <c r="J26" i="1"/>
  <c r="J23" i="1"/>
  <c r="M26" i="1"/>
  <c r="M23" i="1"/>
  <c r="D23" i="4"/>
  <c r="D25" i="4"/>
  <c r="H26" i="4"/>
  <c r="H28" i="4"/>
  <c r="L21" i="1"/>
  <c r="L26" i="1" l="1"/>
  <c r="L23" i="1"/>
  <c r="D28" i="4"/>
  <c r="D26" i="4"/>
  <c r="L105" i="2"/>
  <c r="L108" i="2" s="1"/>
  <c r="K37" i="1"/>
  <c r="L37" i="1" l="1"/>
  <c r="M105" i="2"/>
  <c r="M108" i="2" s="1"/>
  <c r="M37" i="1" l="1"/>
  <c r="N105" i="2"/>
  <c r="N108" i="2" s="1"/>
  <c r="N37" i="1" s="1"/>
  <c r="I119" i="2"/>
  <c r="I118" i="2" s="1"/>
  <c r="I34" i="1" s="1"/>
  <c r="I36" i="1" s="1"/>
  <c r="I66" i="1" s="1"/>
  <c r="I67" i="1" s="1"/>
  <c r="D31" i="4" s="1"/>
  <c r="D32" i="4" s="1"/>
  <c r="D33" i="4" l="1"/>
  <c r="D34" i="4" s="1"/>
  <c r="D37" i="4" s="1"/>
  <c r="K119" i="2"/>
  <c r="K118" i="2"/>
  <c r="K34" i="1" s="1"/>
  <c r="K36" i="1" s="1"/>
  <c r="K66" i="1" s="1"/>
  <c r="L119" i="2"/>
  <c r="L118" i="2" s="1"/>
  <c r="L34" i="1" s="1"/>
  <c r="L36" i="1" s="1"/>
  <c r="L66" i="1" s="1"/>
  <c r="J119" i="2"/>
  <c r="J118" i="2" s="1"/>
  <c r="J34" i="1" s="1"/>
  <c r="J36" i="1" s="1"/>
  <c r="J66" i="1" s="1"/>
  <c r="J67" i="1" s="1"/>
  <c r="E31" i="4" s="1"/>
  <c r="E32" i="4" s="1"/>
  <c r="E34" i="4" s="1"/>
  <c r="E37" i="4" s="1"/>
  <c r="M119" i="2"/>
  <c r="M118" i="2" s="1"/>
  <c r="M34" i="1" s="1"/>
  <c r="M36" i="1" s="1"/>
  <c r="M66" i="1" s="1"/>
  <c r="N119" i="2"/>
  <c r="N118" i="2" s="1"/>
  <c r="N34" i="1" s="1"/>
  <c r="N36" i="1" s="1"/>
  <c r="N66" i="1" s="1"/>
  <c r="M67" i="1" l="1"/>
  <c r="H31" i="4" s="1"/>
  <c r="H32" i="4" s="1"/>
  <c r="H34" i="4" s="1"/>
  <c r="H37" i="4" s="1"/>
  <c r="N67" i="1"/>
  <c r="I31" i="4" s="1"/>
  <c r="I32" i="4" s="1"/>
  <c r="U18" i="4" s="1"/>
  <c r="U20" i="4" s="1"/>
  <c r="U22" i="4" s="1"/>
  <c r="U28" i="4" s="1"/>
  <c r="K67" i="1"/>
  <c r="F31" i="4" s="1"/>
  <c r="F32" i="4" s="1"/>
  <c r="F34" i="4" s="1"/>
  <c r="F37" i="4" s="1"/>
  <c r="L67" i="1"/>
  <c r="G31" i="4" s="1"/>
  <c r="G32" i="4" s="1"/>
  <c r="G34" i="4" s="1"/>
  <c r="G37" i="4" s="1"/>
  <c r="I34" i="4" l="1"/>
  <c r="J34" i="4"/>
  <c r="I37" i="4"/>
  <c r="U27" i="4" s="1"/>
  <c r="U29" i="4" l="1"/>
  <c r="U30" i="4" s="1"/>
  <c r="K34" i="4"/>
  <c r="J37" i="4"/>
  <c r="K37" i="4" l="1"/>
  <c r="L34" i="4"/>
  <c r="U36" i="4"/>
  <c r="U39" i="4" s="1"/>
  <c r="U41" i="4" s="1"/>
  <c r="U31" i="4"/>
  <c r="U32" i="4" s="1"/>
  <c r="U42" i="4" l="1"/>
  <c r="Y27" i="4"/>
  <c r="L37" i="4"/>
  <c r="M34" i="4"/>
  <c r="M37" i="4" l="1"/>
  <c r="N34" i="4"/>
  <c r="O34" i="4" l="1"/>
  <c r="N37" i="4"/>
  <c r="R27" i="4" s="1"/>
  <c r="O37" i="4" l="1"/>
  <c r="R18" i="4"/>
  <c r="R20" i="4" s="1"/>
  <c r="R22" i="4" s="1"/>
  <c r="R28" i="4" l="1"/>
  <c r="R23" i="4"/>
  <c r="R29" i="4" l="1"/>
  <c r="R36" i="4" l="1"/>
  <c r="R39" i="4" s="1"/>
  <c r="R41" i="4" s="1"/>
  <c r="R30" i="4"/>
  <c r="R31" i="4"/>
  <c r="R32" i="4" l="1"/>
  <c r="R42" i="4"/>
  <c r="Y28" i="4"/>
  <c r="Y31" i="4" s="1"/>
  <c r="Y32" i="4" s="1"/>
</calcChain>
</file>

<file path=xl/sharedStrings.xml><?xml version="1.0" encoding="utf-8"?>
<sst xmlns="http://schemas.openxmlformats.org/spreadsheetml/2006/main" count="364" uniqueCount="229">
  <si>
    <t>Net sales</t>
  </si>
  <si>
    <t>Products</t>
  </si>
  <si>
    <t>Service</t>
  </si>
  <si>
    <t>Total net sales</t>
  </si>
  <si>
    <t>Cost of sales</t>
  </si>
  <si>
    <t>Gross profit</t>
  </si>
  <si>
    <t>Research and development</t>
  </si>
  <si>
    <t>Selling, general, and administrative</t>
  </si>
  <si>
    <t>Amortization</t>
  </si>
  <si>
    <t>Interest expense</t>
  </si>
  <si>
    <t>Restructuring charges</t>
  </si>
  <si>
    <t>Other income, net</t>
  </si>
  <si>
    <t>Earnings before taxes</t>
  </si>
  <si>
    <t>Provision for taxes</t>
  </si>
  <si>
    <t>Net earnings</t>
  </si>
  <si>
    <t>Basic earnings per common share:</t>
  </si>
  <si>
    <t>Weighted average number of common shares</t>
  </si>
  <si>
    <t>Diluted earnings per common share:</t>
  </si>
  <si>
    <t xml:space="preserve">Income Statement </t>
  </si>
  <si>
    <t>Balance Sheet</t>
  </si>
  <si>
    <t>Current assets:</t>
  </si>
  <si>
    <t>Cash and cash equivalents</t>
  </si>
  <si>
    <t>Trade accounts receivable, less allowances of $20,103 in 2023 and $22,427 in 2022</t>
  </si>
  <si>
    <t>Inventories</t>
  </si>
  <si>
    <t>Other current assets and prepaid expenses</t>
  </si>
  <si>
    <t>Total current assets</t>
  </si>
  <si>
    <t>Property, plant, and equipment, net</t>
  </si>
  <si>
    <t>Goodwill</t>
  </si>
  <si>
    <t>Other intangible assets, net</t>
  </si>
  <si>
    <t>Deferred tax assets, net</t>
  </si>
  <si>
    <t>Other non-current assets</t>
  </si>
  <si>
    <t>Total assets</t>
  </si>
  <si>
    <t>Current liabilities:</t>
  </si>
  <si>
    <t>Trade accounts payable</t>
  </si>
  <si>
    <t>Accrued and other liabilities</t>
  </si>
  <si>
    <t>Accrued compensation and related items</t>
  </si>
  <si>
    <t>Deferred revenue and customer prepayments</t>
  </si>
  <si>
    <t>Taxes payable</t>
  </si>
  <si>
    <t>Short-term borrowings and current maturities of long-term debt</t>
  </si>
  <si>
    <t>Total current liabilities</t>
  </si>
  <si>
    <t>Long-term debt</t>
  </si>
  <si>
    <t>Deferred tax liabilities, net</t>
  </si>
  <si>
    <t>Other non-current liabilities</t>
  </si>
  <si>
    <t>Total liabilities</t>
  </si>
  <si>
    <t>Shareholders’ equity:</t>
  </si>
  <si>
    <t>Preferred stock, $0.01 par value per share; authorized 10,000,000 shares</t>
  </si>
  <si>
    <t>Additional paid-in capital</t>
  </si>
  <si>
    <t>Treasury stock at cost (23,259,839 and 22,647,002 shares at December 31, 2023 and 2022, respectively)</t>
  </si>
  <si>
    <t>Retained earnings</t>
  </si>
  <si>
    <t>Accumulated other comprehensive income (loss)</t>
  </si>
  <si>
    <t>Total shareholders’ equity</t>
  </si>
  <si>
    <t>Total liabilities and shareholders’ equity</t>
  </si>
  <si>
    <t>Common stock, $0.01 par value per share; authorized 125,000,000 shares</t>
  </si>
  <si>
    <t>Statement of Cash Flow</t>
  </si>
  <si>
    <t>—</t>
  </si>
  <si>
    <t>Cash flows from operating activities:</t>
  </si>
  <si>
    <t>Adjustments to reconcile net earnings to net cash provided by operating activities:</t>
  </si>
  <si>
    <t>Depreciation</t>
  </si>
  <si>
    <t>Deferred tax provision (benefit)</t>
  </si>
  <si>
    <t>Share-based compensation</t>
  </si>
  <si>
    <t>Increase in acquisition contingent consideration</t>
  </si>
  <si>
    <t>Other</t>
  </si>
  <si>
    <t>Increase (decrease) in cash resulting from changes in:</t>
  </si>
  <si>
    <t>Trade accounts receivable</t>
  </si>
  <si>
    <t>Other current assets</t>
  </si>
  <si>
    <t>Accruals and other</t>
  </si>
  <si>
    <t>Net cash provided by operating activities</t>
  </si>
  <si>
    <t>Cash flows from investing activities:</t>
  </si>
  <si>
    <t>Proceeds from sale of property, plant, and equipment</t>
  </si>
  <si>
    <t>Purchase of property, plant, and equipment</t>
  </si>
  <si>
    <t>Proceeds from government grant</t>
  </si>
  <si>
    <t>Acquisitions</t>
  </si>
  <si>
    <t>Other investing activities</t>
  </si>
  <si>
    <t>Net cash used in investing activities</t>
  </si>
  <si>
    <t>Cash flows from financing activities:</t>
  </si>
  <si>
    <t>Proceeds from borrowings</t>
  </si>
  <si>
    <t>Repayments of borrowings</t>
  </si>
  <si>
    <t>Proceeds from exercise of stock options</t>
  </si>
  <si>
    <t>Repurchases of common stock</t>
  </si>
  <si>
    <t>Acquisition contingent consideration paid</t>
  </si>
  <si>
    <t>Other financing activities</t>
  </si>
  <si>
    <t>Net cash used in financing activities</t>
  </si>
  <si>
    <t>Effect of exchange rate changes on cash and cash equivalents</t>
  </si>
  <si>
    <t>Net increase (decrease) in cash and cash equivalents</t>
  </si>
  <si>
    <t>Cash and cash equivalents:</t>
  </si>
  <si>
    <t>Beginning of period</t>
  </si>
  <si>
    <t>End of period</t>
  </si>
  <si>
    <t>Supplemental disclosures of cash flow information:</t>
  </si>
  <si>
    <t>Cash paid during the year for:</t>
  </si>
  <si>
    <t>Interest</t>
  </si>
  <si>
    <t>Taxes</t>
  </si>
  <si>
    <t>Revenue Breakdown</t>
  </si>
  <si>
    <t>Laboratory</t>
  </si>
  <si>
    <t>Industrial</t>
  </si>
  <si>
    <t>Retail</t>
  </si>
  <si>
    <t>Total Blended Revenue</t>
  </si>
  <si>
    <t>Geographic Segmentation:</t>
  </si>
  <si>
    <t>Product Segmentation</t>
  </si>
  <si>
    <t>Americas</t>
  </si>
  <si>
    <t>Europe</t>
  </si>
  <si>
    <t>Asia/Rest of World</t>
  </si>
  <si>
    <t>Total Revenue</t>
  </si>
  <si>
    <t>%Growth</t>
  </si>
  <si>
    <t>Base</t>
  </si>
  <si>
    <t>Bull</t>
  </si>
  <si>
    <t>Bear</t>
  </si>
  <si>
    <t>Total Expenses</t>
  </si>
  <si>
    <t>Costs of Good Sold</t>
  </si>
  <si>
    <t xml:space="preserve">% of Total Revenue </t>
  </si>
  <si>
    <t>Research and Development</t>
  </si>
  <si>
    <t>Selling, General, and Administrative</t>
  </si>
  <si>
    <t>Restructuing Charges</t>
  </si>
  <si>
    <t>Capex Build</t>
  </si>
  <si>
    <t xml:space="preserve">Purchases </t>
  </si>
  <si>
    <t>% of Capex</t>
  </si>
  <si>
    <t>BB PPE</t>
  </si>
  <si>
    <t>(+) Purchases</t>
  </si>
  <si>
    <t>(-) Depreciation</t>
  </si>
  <si>
    <t>EB PPE</t>
  </si>
  <si>
    <t>Net Working Capital</t>
  </si>
  <si>
    <t xml:space="preserve">Accounts Receivable </t>
  </si>
  <si>
    <t>Inventory</t>
  </si>
  <si>
    <t>Prepaid Expenses and Other Current Assets</t>
  </si>
  <si>
    <t>Current Assets</t>
  </si>
  <si>
    <t>Current Liabilities</t>
  </si>
  <si>
    <t>Accounts Payable</t>
  </si>
  <si>
    <t>Non-Operating Income/Expenses</t>
  </si>
  <si>
    <t>Interest Expense</t>
  </si>
  <si>
    <t>% of Revenue</t>
  </si>
  <si>
    <t>Services</t>
  </si>
  <si>
    <t>Other Expenses</t>
  </si>
  <si>
    <t xml:space="preserve">Mettler Toledo Inc. </t>
  </si>
  <si>
    <t>Master</t>
  </si>
  <si>
    <t>Valuation Date</t>
  </si>
  <si>
    <t>Current Share Price</t>
  </si>
  <si>
    <t>Case (Adjustable)</t>
  </si>
  <si>
    <t>Active Case:</t>
  </si>
  <si>
    <t>Mettler-Toledo International Inc</t>
  </si>
  <si>
    <t>Assumptions</t>
  </si>
  <si>
    <t>Taxes Payable</t>
  </si>
  <si>
    <t>Mettler Toledo International Inc.</t>
  </si>
  <si>
    <t>Discounted Cash Flow Valuation</t>
  </si>
  <si>
    <t xml:space="preserve">Active Case: </t>
  </si>
  <si>
    <t xml:space="preserve">Control Panel </t>
  </si>
  <si>
    <t xml:space="preserve">Tax Rate </t>
  </si>
  <si>
    <t>Terminal Multiple</t>
  </si>
  <si>
    <t xml:space="preserve">Perp. Growth Rate </t>
  </si>
  <si>
    <t xml:space="preserve">Diluted Shares Outstanding </t>
  </si>
  <si>
    <t xml:space="preserve">Total Debt </t>
  </si>
  <si>
    <t xml:space="preserve">Total Cash </t>
  </si>
  <si>
    <t xml:space="preserve">$ in thousands </t>
  </si>
  <si>
    <t xml:space="preserve">Revenue </t>
  </si>
  <si>
    <t xml:space="preserve">% Growth </t>
  </si>
  <si>
    <t xml:space="preserve">(-) COGS </t>
  </si>
  <si>
    <t xml:space="preserve">(-) Operating Expenses </t>
  </si>
  <si>
    <t>(+) Depreciation &amp; Amortization</t>
  </si>
  <si>
    <t>EBITDA</t>
  </si>
  <si>
    <t xml:space="preserve">% Margin </t>
  </si>
  <si>
    <t xml:space="preserve">(-) Depreciation &amp; Amortization </t>
  </si>
  <si>
    <t xml:space="preserve">EBIT </t>
  </si>
  <si>
    <t xml:space="preserve">(-) Taxes </t>
  </si>
  <si>
    <t xml:space="preserve">NOPAT </t>
  </si>
  <si>
    <t xml:space="preserve">(-) Capital Expenditures </t>
  </si>
  <si>
    <t xml:space="preserve">(-) Change in NWC </t>
  </si>
  <si>
    <t xml:space="preserve">UFCF (inc. SBC) </t>
  </si>
  <si>
    <t xml:space="preserve">(-) Stub- Year </t>
  </si>
  <si>
    <t xml:space="preserve">FCF For Discounting </t>
  </si>
  <si>
    <t>Discount Factor</t>
  </si>
  <si>
    <t>PV of UFCF</t>
  </si>
  <si>
    <t xml:space="preserve">Discount Period </t>
  </si>
  <si>
    <t xml:space="preserve">Net Working Capital </t>
  </si>
  <si>
    <t>Change NWC</t>
  </si>
  <si>
    <t>Gordon Growth Method</t>
  </si>
  <si>
    <t xml:space="preserve">Terminal Value </t>
  </si>
  <si>
    <t>PGR</t>
  </si>
  <si>
    <t xml:space="preserve">Period </t>
  </si>
  <si>
    <t xml:space="preserve">PV of Terminal Value </t>
  </si>
  <si>
    <t xml:space="preserve">Implied Exit Multiple </t>
  </si>
  <si>
    <t>Value Distribution</t>
  </si>
  <si>
    <t>PV of Period Cash Flows</t>
  </si>
  <si>
    <t xml:space="preserve">Total </t>
  </si>
  <si>
    <t xml:space="preserve">Period Cash Flows </t>
  </si>
  <si>
    <t xml:space="preserve">Implied Share Price </t>
  </si>
  <si>
    <t xml:space="preserve">Enterprise Value </t>
  </si>
  <si>
    <t>(-) Total Debt</t>
  </si>
  <si>
    <t xml:space="preserve">(+) Cash </t>
  </si>
  <si>
    <t xml:space="preserve">Equity Value </t>
  </si>
  <si>
    <t xml:space="preserve">Share Price </t>
  </si>
  <si>
    <t>Upside/Downside</t>
  </si>
  <si>
    <t xml:space="preserve">Weighted Average Cost of Capital </t>
  </si>
  <si>
    <t xml:space="preserve">Market Risk Premium </t>
  </si>
  <si>
    <t xml:space="preserve">Adjusted Beta </t>
  </si>
  <si>
    <t xml:space="preserve">Risk Free Rate </t>
  </si>
  <si>
    <t xml:space="preserve">Cost of Equity </t>
  </si>
  <si>
    <t>Pre-Tax Cost of Debt</t>
  </si>
  <si>
    <t xml:space="preserve">Cost of Debt </t>
  </si>
  <si>
    <t>Total Equity</t>
  </si>
  <si>
    <t xml:space="preserve">Equity/Total Capitalization </t>
  </si>
  <si>
    <t xml:space="preserve">Debt/Total Capitalization </t>
  </si>
  <si>
    <t>WACC</t>
  </si>
  <si>
    <t xml:space="preserve">Exit Multiple </t>
  </si>
  <si>
    <t>Shares Outstanding</t>
  </si>
  <si>
    <t>2029 FCF</t>
  </si>
  <si>
    <t xml:space="preserve">Blended Share Price </t>
  </si>
  <si>
    <t xml:space="preserve">Exit Multiple Method: </t>
  </si>
  <si>
    <t xml:space="preserve">Exit Multiple Weight </t>
  </si>
  <si>
    <t xml:space="preserve">Gordon Growth Weight </t>
  </si>
  <si>
    <t xml:space="preserve">Exit Multiple Method </t>
  </si>
  <si>
    <t>Weighted average number of common and common equivalent shares</t>
  </si>
  <si>
    <t>2034 FCF</t>
  </si>
  <si>
    <t>Comparables</t>
  </si>
  <si>
    <t xml:space="preserve">Company </t>
  </si>
  <si>
    <t xml:space="preserve">Market Capitalization </t>
  </si>
  <si>
    <t xml:space="preserve">Agilent Technologies </t>
  </si>
  <si>
    <t>Waters Corp</t>
  </si>
  <si>
    <t>Avantor inc</t>
  </si>
  <si>
    <t>Illumina</t>
  </si>
  <si>
    <t xml:space="preserve">Bruker Corp </t>
  </si>
  <si>
    <t>TEV/Forward EBITDA NTM</t>
  </si>
  <si>
    <t xml:space="preserve">Summary Statistics </t>
  </si>
  <si>
    <t>NTM Forward P/E</t>
  </si>
  <si>
    <t>MTD</t>
  </si>
  <si>
    <t>28.47B</t>
  </si>
  <si>
    <t>30.6B</t>
  </si>
  <si>
    <t xml:space="preserve">Low </t>
  </si>
  <si>
    <t>Mean</t>
  </si>
  <si>
    <t>Median</t>
  </si>
  <si>
    <t>High</t>
  </si>
  <si>
    <t>*in billions unless otherwise noted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</si>
</sst>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164" formatCode="0.0%"/>
    <numFmt numFmtId="165" formatCode="0.0"/>
    <numFmt numFmtId="166" formatCode="yyyy&quot;E&quot;"/>
    <numFmt numFmtId="167" formatCode="yyyy\A"/>
    <numFmt numFmtId="168" formatCode="yyyy\E"/>
    <numFmt numFmtId="169" formatCode="0.0\x"/>
    <numFmt numFmtId="170" formatCode="&quot;$&quot;#,##0.00"/>
    <numFmt numFmtId="171" formatCode="0.0%_);\(0.0%\)_)"/>
    <numFmt numFmtId="172" formatCode="0&quot;A&quot;"/>
    <numFmt numFmtId="173" formatCode="0&quot;E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b/>
      <sz val="11"/>
      <color theme="0"/>
      <name val="Garamond"/>
      <family val="1"/>
    </font>
    <font>
      <i/>
      <sz val="11"/>
      <color theme="1"/>
      <name val="Garamond"/>
      <family val="1"/>
    </font>
    <font>
      <i/>
      <sz val="11"/>
      <color rgb="FF0000FF"/>
      <name val="Garamond"/>
      <family val="1"/>
    </font>
    <font>
      <sz val="11"/>
      <color rgb="FF0000FF"/>
      <name val="Garamond"/>
      <family val="1"/>
    </font>
    <font>
      <sz val="11"/>
      <color rgb="FF00B050"/>
      <name val="Garamond"/>
      <family val="1"/>
    </font>
    <font>
      <b/>
      <sz val="11"/>
      <color rgb="FF0000FF"/>
      <name val="Garamond"/>
      <family val="1"/>
    </font>
    <font>
      <b/>
      <i/>
      <sz val="11"/>
      <color theme="1"/>
      <name val="Garamond"/>
      <family val="1"/>
    </font>
    <font>
      <i/>
      <sz val="11"/>
      <name val="Garamond"/>
      <family val="1"/>
    </font>
    <font>
      <sz val="11"/>
      <color theme="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1" xfId="0" applyNumberFormat="1" applyFont="1" applyBorder="1"/>
    <xf numFmtId="0" fontId="2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left" indent="1"/>
    </xf>
    <xf numFmtId="0" fontId="1" fillId="3" borderId="1" xfId="0" applyFont="1" applyFill="1" applyBorder="1"/>
    <xf numFmtId="0" fontId="3" fillId="3" borderId="0" xfId="0" applyFont="1" applyFill="1"/>
    <xf numFmtId="3" fontId="4" fillId="3" borderId="0" xfId="0" applyNumberFormat="1" applyFont="1" applyFill="1" applyBorder="1"/>
    <xf numFmtId="0" fontId="4" fillId="3" borderId="1" xfId="0" applyFont="1" applyFill="1" applyBorder="1"/>
    <xf numFmtId="0" fontId="5" fillId="2" borderId="0" xfId="0" applyFont="1" applyFill="1"/>
    <xf numFmtId="0" fontId="1" fillId="0" borderId="0" xfId="0" applyFont="1" applyFill="1" applyBorder="1"/>
    <xf numFmtId="3" fontId="4" fillId="3" borderId="1" xfId="0" applyNumberFormat="1" applyFont="1" applyFill="1" applyBorder="1"/>
    <xf numFmtId="0" fontId="4" fillId="3" borderId="0" xfId="0" applyFont="1" applyFill="1"/>
    <xf numFmtId="3" fontId="4" fillId="3" borderId="0" xfId="0" applyNumberFormat="1" applyFont="1" applyFill="1"/>
    <xf numFmtId="0" fontId="1" fillId="3" borderId="0" xfId="0" applyFont="1" applyFill="1"/>
    <xf numFmtId="0" fontId="3" fillId="3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0" applyNumberFormat="1" applyFont="1" applyFill="1"/>
    <xf numFmtId="0" fontId="1" fillId="0" borderId="1" xfId="0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8" fillId="0" borderId="0" xfId="0" applyFont="1"/>
    <xf numFmtId="3" fontId="8" fillId="0" borderId="0" xfId="0" applyNumberFormat="1" applyFont="1"/>
    <xf numFmtId="164" fontId="7" fillId="0" borderId="0" xfId="0" applyNumberFormat="1" applyFont="1"/>
    <xf numFmtId="164" fontId="7" fillId="0" borderId="1" xfId="0" applyNumberFormat="1" applyFont="1" applyBorder="1"/>
    <xf numFmtId="3" fontId="9" fillId="0" borderId="0" xfId="0" applyNumberFormat="1" applyFont="1"/>
    <xf numFmtId="3" fontId="9" fillId="0" borderId="1" xfId="0" applyNumberFormat="1" applyFont="1" applyBorder="1"/>
    <xf numFmtId="10" fontId="7" fillId="0" borderId="0" xfId="0" applyNumberFormat="1" applyFont="1" applyFill="1" applyBorder="1"/>
    <xf numFmtId="164" fontId="6" fillId="4" borderId="0" xfId="0" applyNumberFormat="1" applyFont="1" applyFill="1"/>
    <xf numFmtId="3" fontId="1" fillId="0" borderId="1" xfId="0" applyNumberFormat="1" applyFont="1" applyFill="1" applyBorder="1"/>
    <xf numFmtId="164" fontId="6" fillId="0" borderId="0" xfId="0" applyNumberFormat="1" applyFont="1" applyFill="1"/>
    <xf numFmtId="3" fontId="9" fillId="0" borderId="0" xfId="0" applyNumberFormat="1" applyFont="1" applyFill="1"/>
    <xf numFmtId="0" fontId="1" fillId="0" borderId="2" xfId="0" applyFont="1" applyBorder="1"/>
    <xf numFmtId="3" fontId="4" fillId="3" borderId="2" xfId="0" applyNumberFormat="1" applyFont="1" applyFill="1" applyBorder="1"/>
    <xf numFmtId="0" fontId="1" fillId="0" borderId="0" xfId="0" applyFont="1" applyAlignment="1">
      <alignment horizontal="left"/>
    </xf>
    <xf numFmtId="3" fontId="9" fillId="0" borderId="2" xfId="0" applyNumberFormat="1" applyFont="1" applyBorder="1"/>
    <xf numFmtId="164" fontId="7" fillId="0" borderId="2" xfId="0" applyNumberFormat="1" applyFont="1" applyBorder="1"/>
    <xf numFmtId="3" fontId="3" fillId="3" borderId="0" xfId="0" applyNumberFormat="1" applyFont="1" applyFill="1"/>
    <xf numFmtId="164" fontId="7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/>
    <xf numFmtId="37" fontId="9" fillId="0" borderId="1" xfId="0" applyNumberFormat="1" applyFont="1" applyBorder="1"/>
    <xf numFmtId="37" fontId="1" fillId="0" borderId="0" xfId="0" applyNumberFormat="1" applyFont="1"/>
    <xf numFmtId="37" fontId="1" fillId="0" borderId="1" xfId="0" applyNumberFormat="1" applyFont="1" applyBorder="1"/>
    <xf numFmtId="0" fontId="6" fillId="0" borderId="0" xfId="0" applyFont="1"/>
    <xf numFmtId="14" fontId="8" fillId="0" borderId="0" xfId="0" applyNumberFormat="1" applyFont="1"/>
    <xf numFmtId="0" fontId="10" fillId="0" borderId="0" xfId="0" applyFont="1" applyAlignment="1">
      <alignment horizontal="center"/>
    </xf>
    <xf numFmtId="8" fontId="8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167" fontId="5" fillId="2" borderId="0" xfId="0" applyNumberFormat="1" applyFont="1" applyFill="1"/>
    <xf numFmtId="168" fontId="5" fillId="2" borderId="0" xfId="0" applyNumberFormat="1" applyFont="1" applyFill="1"/>
    <xf numFmtId="164" fontId="6" fillId="0" borderId="2" xfId="0" applyNumberFormat="1" applyFont="1" applyFill="1" applyBorder="1"/>
    <xf numFmtId="3" fontId="1" fillId="0" borderId="0" xfId="0" applyNumberFormat="1" applyFont="1" applyFill="1" applyBorder="1"/>
    <xf numFmtId="9" fontId="1" fillId="0" borderId="1" xfId="0" applyNumberFormat="1" applyFont="1" applyBorder="1"/>
    <xf numFmtId="165" fontId="2" fillId="0" borderId="0" xfId="0" applyNumberFormat="1" applyFont="1"/>
    <xf numFmtId="10" fontId="1" fillId="0" borderId="1" xfId="0" applyNumberFormat="1" applyFont="1" applyBorder="1"/>
    <xf numFmtId="3" fontId="1" fillId="0" borderId="6" xfId="0" applyNumberFormat="1" applyFont="1" applyBorder="1"/>
    <xf numFmtId="166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/>
    <xf numFmtId="3" fontId="1" fillId="0" borderId="2" xfId="0" applyNumberFormat="1" applyFont="1" applyBorder="1"/>
    <xf numFmtId="37" fontId="4" fillId="3" borderId="0" xfId="0" applyNumberFormat="1" applyFont="1" applyFill="1"/>
    <xf numFmtId="37" fontId="1" fillId="3" borderId="0" xfId="0" applyNumberFormat="1" applyFont="1" applyFill="1"/>
    <xf numFmtId="37" fontId="4" fillId="3" borderId="1" xfId="0" applyNumberFormat="1" applyFont="1" applyFill="1" applyBorder="1"/>
    <xf numFmtId="37" fontId="1" fillId="0" borderId="0" xfId="0" applyNumberFormat="1" applyFont="1" applyFill="1"/>
    <xf numFmtId="37" fontId="1" fillId="0" borderId="0" xfId="0" applyNumberFormat="1" applyFont="1" applyAlignment="1">
      <alignment horizontal="right"/>
    </xf>
    <xf numFmtId="0" fontId="6" fillId="0" borderId="3" xfId="0" applyFont="1" applyBorder="1"/>
    <xf numFmtId="0" fontId="1" fillId="0" borderId="7" xfId="0" applyFont="1" applyBorder="1"/>
    <xf numFmtId="0" fontId="1" fillId="0" borderId="4" xfId="0" applyFont="1" applyBorder="1"/>
    <xf numFmtId="0" fontId="1" fillId="2" borderId="2" xfId="0" applyFont="1" applyFill="1" applyBorder="1"/>
    <xf numFmtId="0" fontId="1" fillId="2" borderId="0" xfId="0" applyFont="1" applyFill="1" applyBorder="1"/>
    <xf numFmtId="166" fontId="5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0" xfId="0" applyFont="1" applyFill="1" applyBorder="1"/>
    <xf numFmtId="0" fontId="6" fillId="0" borderId="2" xfId="0" applyFont="1" applyBorder="1" applyAlignment="1">
      <alignment horizontal="left" indent="1"/>
    </xf>
    <xf numFmtId="0" fontId="6" fillId="0" borderId="0" xfId="0" applyFont="1" applyBorder="1"/>
    <xf numFmtId="164" fontId="6" fillId="0" borderId="0" xfId="0" applyNumberFormat="1" applyFont="1" applyBorder="1"/>
    <xf numFmtId="164" fontId="6" fillId="0" borderId="1" xfId="0" applyNumberFormat="1" applyFont="1" applyBorder="1"/>
    <xf numFmtId="0" fontId="1" fillId="0" borderId="2" xfId="0" applyFont="1" applyBorder="1" applyAlignment="1">
      <alignment horizontal="left" indent="1"/>
    </xf>
    <xf numFmtId="0" fontId="6" fillId="0" borderId="2" xfId="0" applyFont="1" applyBorder="1"/>
    <xf numFmtId="37" fontId="1" fillId="0" borderId="0" xfId="0" applyNumberFormat="1" applyFont="1" applyBorder="1"/>
    <xf numFmtId="37" fontId="4" fillId="3" borderId="0" xfId="0" applyNumberFormat="1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37" fontId="1" fillId="0" borderId="1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5" xfId="0" applyFont="1" applyBorder="1"/>
    <xf numFmtId="10" fontId="1" fillId="0" borderId="6" xfId="0" applyNumberFormat="1" applyFont="1" applyBorder="1"/>
    <xf numFmtId="3" fontId="1" fillId="0" borderId="0" xfId="0" applyNumberFormat="1" applyFont="1" applyAlignment="1">
      <alignment horizontal="right"/>
    </xf>
    <xf numFmtId="0" fontId="5" fillId="2" borderId="2" xfId="0" applyFont="1" applyFill="1" applyBorder="1"/>
    <xf numFmtId="0" fontId="5" fillId="2" borderId="5" xfId="0" applyFont="1" applyFill="1" applyBorder="1"/>
    <xf numFmtId="2" fontId="1" fillId="0" borderId="0" xfId="0" applyNumberFormat="1" applyFont="1" applyBorder="1"/>
    <xf numFmtId="2" fontId="1" fillId="0" borderId="1" xfId="0" applyNumberFormat="1" applyFont="1" applyBorder="1"/>
    <xf numFmtId="3" fontId="4" fillId="3" borderId="8" xfId="0" applyNumberFormat="1" applyFont="1" applyFill="1" applyBorder="1"/>
    <xf numFmtId="3" fontId="4" fillId="3" borderId="6" xfId="0" applyNumberFormat="1" applyFont="1" applyFill="1" applyBorder="1"/>
    <xf numFmtId="164" fontId="1" fillId="0" borderId="1" xfId="0" applyNumberFormat="1" applyFont="1" applyBorder="1"/>
    <xf numFmtId="10" fontId="5" fillId="2" borderId="6" xfId="0" applyNumberFormat="1" applyFont="1" applyFill="1" applyBorder="1"/>
    <xf numFmtId="10" fontId="5" fillId="2" borderId="1" xfId="0" applyNumberFormat="1" applyFont="1" applyFill="1" applyBorder="1"/>
    <xf numFmtId="169" fontId="1" fillId="0" borderId="6" xfId="0" applyNumberFormat="1" applyFont="1" applyBorder="1"/>
    <xf numFmtId="2" fontId="1" fillId="0" borderId="6" xfId="0" applyNumberFormat="1" applyFont="1" applyBorder="1"/>
    <xf numFmtId="3" fontId="4" fillId="0" borderId="1" xfId="0" applyNumberFormat="1" applyFont="1" applyBorder="1"/>
    <xf numFmtId="170" fontId="1" fillId="0" borderId="1" xfId="0" applyNumberFormat="1" applyFont="1" applyBorder="1"/>
    <xf numFmtId="0" fontId="1" fillId="0" borderId="8" xfId="0" applyFont="1" applyBorder="1"/>
    <xf numFmtId="3" fontId="4" fillId="0" borderId="6" xfId="0" applyNumberFormat="1" applyFont="1" applyBorder="1"/>
    <xf numFmtId="0" fontId="11" fillId="0" borderId="0" xfId="0" applyFont="1"/>
    <xf numFmtId="170" fontId="4" fillId="3" borderId="1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71" fontId="1" fillId="0" borderId="6" xfId="0" applyNumberFormat="1" applyFont="1" applyBorder="1"/>
    <xf numFmtId="165" fontId="1" fillId="0" borderId="0" xfId="0" applyNumberFormat="1" applyFont="1" applyBorder="1"/>
    <xf numFmtId="171" fontId="7" fillId="0" borderId="1" xfId="0" applyNumberFormat="1" applyFont="1" applyBorder="1"/>
    <xf numFmtId="171" fontId="7" fillId="0" borderId="1" xfId="0" applyNumberFormat="1" applyFont="1" applyFill="1" applyBorder="1"/>
    <xf numFmtId="171" fontId="7" fillId="0" borderId="0" xfId="0" applyNumberFormat="1" applyFont="1"/>
    <xf numFmtId="164" fontId="6" fillId="0" borderId="2" xfId="0" applyNumberFormat="1" applyFont="1" applyBorder="1"/>
    <xf numFmtId="37" fontId="1" fillId="0" borderId="2" xfId="0" applyNumberFormat="1" applyFont="1" applyBorder="1"/>
    <xf numFmtId="37" fontId="4" fillId="3" borderId="2" xfId="0" applyNumberFormat="1" applyFont="1" applyFill="1" applyBorder="1"/>
    <xf numFmtId="0" fontId="5" fillId="2" borderId="3" xfId="0" applyFont="1" applyFill="1" applyBorder="1"/>
    <xf numFmtId="0" fontId="1" fillId="0" borderId="0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0" fontId="4" fillId="5" borderId="9" xfId="0" applyFont="1" applyFill="1" applyBorder="1"/>
    <xf numFmtId="0" fontId="4" fillId="5" borderId="11" xfId="0" applyFont="1" applyFill="1" applyBorder="1" applyAlignment="1">
      <alignment horizontal="center"/>
    </xf>
    <xf numFmtId="169" fontId="4" fillId="5" borderId="11" xfId="0" applyNumberFormat="1" applyFont="1" applyFill="1" applyBorder="1" applyAlignment="1">
      <alignment horizontal="center"/>
    </xf>
    <xf numFmtId="169" fontId="4" fillId="5" borderId="10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4" xfId="0" applyFont="1" applyFill="1" applyBorder="1"/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71" fontId="12" fillId="5" borderId="0" xfId="0" applyNumberFormat="1" applyFont="1" applyFill="1" applyBorder="1"/>
    <xf numFmtId="171" fontId="2" fillId="0" borderId="6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1" fontId="7" fillId="0" borderId="0" xfId="0" applyNumberFormat="1" applyFont="1" applyFill="1" applyBorder="1"/>
    <xf numFmtId="0" fontId="1" fillId="6" borderId="0" xfId="0" applyFont="1" applyFill="1"/>
    <xf numFmtId="172" fontId="13" fillId="6" borderId="0" xfId="0" applyNumberFormat="1" applyFont="1" applyFill="1"/>
    <xf numFmtId="173" fontId="13" fillId="6" borderId="0" xfId="0" applyNumberFormat="1" applyFont="1" applyFill="1"/>
    <xf numFmtId="0" fontId="13" fillId="6" borderId="0" xfId="0" applyFont="1" applyFill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AD28-E294-41B8-B297-A37465FF9060}">
  <dimension ref="D4:F14"/>
  <sheetViews>
    <sheetView showGridLines="0" workbookViewId="0">
      <selection activeCell="E12" sqref="E12"/>
    </sheetView>
  </sheetViews>
  <sheetFormatPr defaultRowHeight="15" x14ac:dyDescent="0.25"/>
  <cols>
    <col min="1" max="3" width="9.140625" style="1"/>
    <col min="4" max="4" width="18.7109375" style="1" customWidth="1"/>
    <col min="5" max="5" width="10.28515625" style="1" bestFit="1" customWidth="1"/>
    <col min="6" max="16384" width="9.140625" style="1"/>
  </cols>
  <sheetData>
    <row r="4" spans="4:6" x14ac:dyDescent="0.25">
      <c r="D4" s="17" t="s">
        <v>131</v>
      </c>
      <c r="E4" s="17"/>
      <c r="F4" s="17"/>
    </row>
    <row r="5" spans="4:6" x14ac:dyDescent="0.25">
      <c r="D5" s="116" t="s">
        <v>132</v>
      </c>
    </row>
    <row r="7" spans="4:6" x14ac:dyDescent="0.25">
      <c r="D7" s="1" t="s">
        <v>133</v>
      </c>
      <c r="E7" s="53">
        <f ca="1">TODAY()</f>
        <v>45383</v>
      </c>
    </row>
    <row r="8" spans="4:6" x14ac:dyDescent="0.25">
      <c r="D8" s="1" t="s">
        <v>134</v>
      </c>
      <c r="E8" s="55">
        <v>1341.2</v>
      </c>
    </row>
    <row r="11" spans="4:6" x14ac:dyDescent="0.25">
      <c r="D11" s="1" t="s">
        <v>135</v>
      </c>
      <c r="E11" s="54">
        <v>1</v>
      </c>
      <c r="F11" s="56" t="str">
        <f ca="1">OFFSET($F$11, E11,)</f>
        <v>Base</v>
      </c>
    </row>
    <row r="12" spans="4:6" x14ac:dyDescent="0.25">
      <c r="E12" s="1">
        <v>1</v>
      </c>
      <c r="F12" s="1" t="s">
        <v>103</v>
      </c>
    </row>
    <row r="13" spans="4:6" x14ac:dyDescent="0.25">
      <c r="E13" s="1">
        <v>2</v>
      </c>
      <c r="F13" s="1" t="s">
        <v>104</v>
      </c>
    </row>
    <row r="14" spans="4:6" x14ac:dyDescent="0.25">
      <c r="E14" s="1">
        <v>3</v>
      </c>
      <c r="F14" s="1" t="s">
        <v>105</v>
      </c>
    </row>
  </sheetData>
  <dataValidations count="1">
    <dataValidation type="list" allowBlank="1" showInputMessage="1" showErrorMessage="1" sqref="E11" xr:uid="{9CD1F9CF-6088-4AAC-A24F-E42B78D05CA9}">
      <formula1>$E$12:$E$14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36725-D6D8-4726-8906-BB57BEB3138F}">
  <dimension ref="C4:N123"/>
  <sheetViews>
    <sheetView showGridLines="0" topLeftCell="B34" workbookViewId="0">
      <selection activeCell="I67" sqref="I67"/>
    </sheetView>
  </sheetViews>
  <sheetFormatPr defaultRowHeight="15" x14ac:dyDescent="0.25"/>
  <cols>
    <col min="1" max="3" width="9.140625" style="1"/>
    <col min="4" max="4" width="82" style="1" customWidth="1"/>
    <col min="5" max="5" width="9.140625" style="1"/>
    <col min="6" max="8" width="11.28515625" style="1" bestFit="1" customWidth="1"/>
    <col min="9" max="9" width="10.85546875" style="1" bestFit="1" customWidth="1"/>
    <col min="10" max="10" width="11.140625" style="1" bestFit="1" customWidth="1"/>
    <col min="11" max="13" width="12" style="1" bestFit="1" customWidth="1"/>
    <col min="14" max="14" width="10.42578125" style="1" customWidth="1"/>
    <col min="15" max="16384" width="9.140625" style="1"/>
  </cols>
  <sheetData>
    <row r="4" spans="3:14" x14ac:dyDescent="0.25">
      <c r="C4" s="3"/>
      <c r="D4" s="17" t="s">
        <v>18</v>
      </c>
      <c r="E4" s="17"/>
      <c r="F4" s="60">
        <v>44561</v>
      </c>
      <c r="G4" s="60">
        <f>EOMONTH(F4,12)</f>
        <v>44926</v>
      </c>
      <c r="H4" s="60">
        <f t="shared" ref="H4:N4" si="0">EOMONTH(G4,12)</f>
        <v>45291</v>
      </c>
      <c r="I4" s="61">
        <f>EOMONTH(H4,12)</f>
        <v>45657</v>
      </c>
      <c r="J4" s="61">
        <f t="shared" si="0"/>
        <v>46022</v>
      </c>
      <c r="K4" s="61">
        <f t="shared" si="0"/>
        <v>46387</v>
      </c>
      <c r="L4" s="61">
        <f t="shared" si="0"/>
        <v>46752</v>
      </c>
      <c r="M4" s="61">
        <f t="shared" si="0"/>
        <v>47118</v>
      </c>
      <c r="N4" s="61">
        <f t="shared" si="0"/>
        <v>47483</v>
      </c>
    </row>
    <row r="5" spans="3:14" x14ac:dyDescent="0.25">
      <c r="C5" s="3"/>
      <c r="D5" s="3" t="s">
        <v>0</v>
      </c>
      <c r="E5" s="3"/>
      <c r="F5" s="8"/>
      <c r="G5" s="8"/>
      <c r="H5" s="7"/>
      <c r="I5" s="3"/>
      <c r="J5" s="3"/>
      <c r="K5" s="3"/>
      <c r="L5" s="3"/>
    </row>
    <row r="6" spans="3:14" x14ac:dyDescent="0.25">
      <c r="C6" s="3"/>
      <c r="D6" s="12" t="s">
        <v>1</v>
      </c>
      <c r="E6" s="3"/>
      <c r="F6" s="10">
        <v>2960615</v>
      </c>
      <c r="G6" s="10">
        <v>3118721</v>
      </c>
      <c r="H6" s="6">
        <v>2906661</v>
      </c>
      <c r="I6" s="3"/>
      <c r="J6" s="3"/>
      <c r="K6" s="3"/>
      <c r="L6" s="3"/>
    </row>
    <row r="7" spans="3:14" x14ac:dyDescent="0.25">
      <c r="C7" s="3"/>
      <c r="D7" s="12" t="s">
        <v>2</v>
      </c>
      <c r="E7" s="3"/>
      <c r="F7" s="10">
        <v>757315</v>
      </c>
      <c r="G7" s="10">
        <v>800988</v>
      </c>
      <c r="H7" s="6">
        <v>881648</v>
      </c>
      <c r="I7" s="3"/>
      <c r="J7" s="3"/>
      <c r="K7" s="3"/>
      <c r="L7" s="3"/>
    </row>
    <row r="8" spans="3:14" x14ac:dyDescent="0.25">
      <c r="C8" s="3"/>
      <c r="D8" s="14" t="s">
        <v>3</v>
      </c>
      <c r="E8" s="14"/>
      <c r="F8" s="15">
        <v>3717930</v>
      </c>
      <c r="G8" s="15">
        <v>3919709</v>
      </c>
      <c r="H8" s="19">
        <v>3788309</v>
      </c>
      <c r="I8" s="45">
        <f>Assumptions!I49</f>
        <v>4080563.58</v>
      </c>
      <c r="J8" s="45">
        <f>Assumptions!J49</f>
        <v>4433030.5221500006</v>
      </c>
      <c r="K8" s="45">
        <f>Assumptions!K49</f>
        <v>4797828.2704605004</v>
      </c>
      <c r="L8" s="45">
        <f>Assumptions!L49</f>
        <v>5192703.7206795411</v>
      </c>
      <c r="M8" s="45">
        <f>Assumptions!M49</f>
        <v>5583287.407244971</v>
      </c>
      <c r="N8" s="45">
        <f>Assumptions!N49</f>
        <v>6007489.9566820832</v>
      </c>
    </row>
    <row r="9" spans="3:14" x14ac:dyDescent="0.25">
      <c r="C9" s="3"/>
      <c r="D9" s="3" t="s">
        <v>4</v>
      </c>
      <c r="E9" s="3"/>
      <c r="F9" s="8"/>
      <c r="H9" s="7"/>
      <c r="I9" s="3"/>
      <c r="J9" s="3"/>
      <c r="K9" s="3"/>
      <c r="L9" s="3"/>
    </row>
    <row r="10" spans="3:14" x14ac:dyDescent="0.25">
      <c r="C10" s="3"/>
      <c r="D10" s="12" t="s">
        <v>1</v>
      </c>
      <c r="E10" s="3"/>
      <c r="F10" s="10">
        <v>1181020</v>
      </c>
      <c r="G10" s="10">
        <v>1227230</v>
      </c>
      <c r="H10" s="6">
        <v>1144167</v>
      </c>
      <c r="I10" s="57">
        <f ca="1">Assumptions!I55</f>
        <v>1142557.8024000002</v>
      </c>
      <c r="J10" s="57">
        <f ca="1">Assumptions!J55</f>
        <v>1152587.9357590002</v>
      </c>
      <c r="K10" s="57">
        <f ca="1">Assumptions!K55</f>
        <v>1151478.7849105201</v>
      </c>
      <c r="L10" s="57">
        <f ca="1">Assumptions!L55</f>
        <v>1246248.8929630897</v>
      </c>
      <c r="M10" s="57">
        <f>Assumptions!M55</f>
        <v>1284156.1036663435</v>
      </c>
      <c r="N10" s="57">
        <f>Assumptions!N55</f>
        <v>1381722.6900368792</v>
      </c>
    </row>
    <row r="11" spans="3:14" x14ac:dyDescent="0.25">
      <c r="C11" s="3"/>
      <c r="D11" s="12" t="s">
        <v>2</v>
      </c>
      <c r="E11" s="3"/>
      <c r="F11" s="10">
        <v>365357</v>
      </c>
      <c r="G11" s="10">
        <v>384437</v>
      </c>
      <c r="H11" s="6">
        <v>402856</v>
      </c>
      <c r="I11" s="57">
        <f ca="1">Assumptions!I61</f>
        <v>387653.54009999998</v>
      </c>
      <c r="J11" s="57">
        <f ca="1">Assumptions!J61</f>
        <v>310312.13655050006</v>
      </c>
      <c r="K11" s="57">
        <f ca="1">Assumptions!K61</f>
        <v>335847.97893223504</v>
      </c>
      <c r="L11" s="57">
        <f ca="1">Assumptions!L61</f>
        <v>363489.26044756791</v>
      </c>
      <c r="M11" s="57">
        <f ca="1">Assumptions!M61</f>
        <v>390830.118507148</v>
      </c>
      <c r="N11" s="57">
        <f ca="1">Assumptions!N61</f>
        <v>420524.29696774588</v>
      </c>
    </row>
    <row r="12" spans="3:14" x14ac:dyDescent="0.25">
      <c r="C12" s="3"/>
      <c r="D12" s="14" t="s">
        <v>5</v>
      </c>
      <c r="E12" s="14"/>
      <c r="F12" s="15">
        <v>2171553</v>
      </c>
      <c r="G12" s="15">
        <v>2308042</v>
      </c>
      <c r="H12" s="19">
        <v>2241286</v>
      </c>
      <c r="I12" s="45">
        <f t="shared" ref="I12:N12" ca="1" si="1">I8-I10-I11</f>
        <v>2550352.2374999998</v>
      </c>
      <c r="J12" s="45">
        <f t="shared" ca="1" si="1"/>
        <v>2970130.4498405</v>
      </c>
      <c r="K12" s="45">
        <f t="shared" ca="1" si="1"/>
        <v>3310501.5066177454</v>
      </c>
      <c r="L12" s="45">
        <f t="shared" ca="1" si="1"/>
        <v>3582965.5672688833</v>
      </c>
      <c r="M12" s="45">
        <f t="shared" ca="1" si="1"/>
        <v>3908301.1850714795</v>
      </c>
      <c r="N12" s="45">
        <f t="shared" ca="1" si="1"/>
        <v>4205242.9696774585</v>
      </c>
    </row>
    <row r="13" spans="3:14" x14ac:dyDescent="0.25">
      <c r="C13" s="3"/>
      <c r="D13" s="3" t="s">
        <v>6</v>
      </c>
      <c r="E13" s="3"/>
      <c r="F13" s="10">
        <v>169766</v>
      </c>
      <c r="G13" s="63">
        <v>177122</v>
      </c>
      <c r="H13" s="6">
        <v>185284</v>
      </c>
      <c r="I13" s="57">
        <f ca="1">Assumptions!I68</f>
        <v>171383.67036000002</v>
      </c>
      <c r="J13" s="57">
        <f ca="1">Assumptions!J68</f>
        <v>186187.28193030003</v>
      </c>
      <c r="K13" s="57">
        <f ca="1">Assumptions!K68</f>
        <v>182317.47427749902</v>
      </c>
      <c r="L13" s="57">
        <f ca="1">Assumptions!L68</f>
        <v>186937.33394446346</v>
      </c>
      <c r="M13" s="57">
        <f ca="1">Assumptions!M68</f>
        <v>195415.059253574</v>
      </c>
      <c r="N13" s="57">
        <f ca="1">Assumptions!N68</f>
        <v>204254.65852719086</v>
      </c>
    </row>
    <row r="14" spans="3:14" x14ac:dyDescent="0.25">
      <c r="C14" s="3"/>
      <c r="D14" s="3" t="s">
        <v>7</v>
      </c>
      <c r="E14" s="3"/>
      <c r="F14" s="10">
        <v>943976</v>
      </c>
      <c r="G14" s="10">
        <v>938461</v>
      </c>
      <c r="H14" s="6">
        <v>904106</v>
      </c>
      <c r="I14" s="57">
        <f ca="1">Assumptions!I74</f>
        <v>926287.93266000005</v>
      </c>
      <c r="J14" s="57">
        <f ca="1">Assumptions!J74</f>
        <v>886606.10443000018</v>
      </c>
      <c r="K14" s="57">
        <f ca="1">Assumptions!K74</f>
        <v>959565.6540921001</v>
      </c>
      <c r="L14" s="57">
        <f ca="1">Assumptions!L74</f>
        <v>986613.70692911278</v>
      </c>
      <c r="M14" s="57">
        <f ca="1">Assumptions!M74</f>
        <v>1060824.6073765445</v>
      </c>
      <c r="N14" s="57">
        <f ca="1">Assumptions!N74</f>
        <v>1141423.0917695959</v>
      </c>
    </row>
    <row r="15" spans="3:14" x14ac:dyDescent="0.25">
      <c r="C15" s="3"/>
      <c r="D15" s="3" t="s">
        <v>8</v>
      </c>
      <c r="E15" s="3"/>
      <c r="F15" s="10">
        <v>63075</v>
      </c>
      <c r="G15" s="10">
        <v>66239</v>
      </c>
      <c r="H15" s="6">
        <v>72213</v>
      </c>
      <c r="I15" s="57">
        <f ca="1">Assumptions!I86</f>
        <v>71613.890828999996</v>
      </c>
      <c r="J15" s="57">
        <f ca="1">Assumptions!J86</f>
        <v>75361.518876550021</v>
      </c>
      <c r="K15" s="57">
        <f ca="1">Assumptions!K86</f>
        <v>81563.080597828506</v>
      </c>
      <c r="L15" s="57">
        <f ca="1">Assumptions!L86</f>
        <v>83083.25953087266</v>
      </c>
      <c r="M15" s="57">
        <f ca="1">Assumptions!M86</f>
        <v>83749.311108674563</v>
      </c>
      <c r="N15" s="57">
        <f ca="1">Assumptions!N86</f>
        <v>84104.859393549166</v>
      </c>
    </row>
    <row r="16" spans="3:14" x14ac:dyDescent="0.25">
      <c r="C16" s="3"/>
      <c r="D16" s="3" t="s">
        <v>9</v>
      </c>
      <c r="E16" s="3"/>
      <c r="F16" s="10">
        <v>43242</v>
      </c>
      <c r="G16" s="10">
        <v>55392</v>
      </c>
      <c r="H16" s="6">
        <v>77366</v>
      </c>
      <c r="I16" s="57">
        <f ca="1">Assumptions!I154</f>
        <v>71409.86265000001</v>
      </c>
      <c r="J16" s="57">
        <f ca="1">Assumptions!J154</f>
        <v>77578.034137625014</v>
      </c>
      <c r="K16" s="57">
        <f ca="1">Assumptions!K154</f>
        <v>83961.99473305876</v>
      </c>
      <c r="L16" s="57">
        <f ca="1">Assumptions!L154</f>
        <v>90872.315111891978</v>
      </c>
      <c r="M16" s="57">
        <f ca="1">Assumptions!M154</f>
        <v>97707.529626787</v>
      </c>
      <c r="N16" s="57">
        <f ca="1">Assumptions!N154</f>
        <v>105131.07424193647</v>
      </c>
    </row>
    <row r="17" spans="3:14" x14ac:dyDescent="0.25">
      <c r="C17" s="3"/>
      <c r="D17" s="3" t="s">
        <v>10</v>
      </c>
      <c r="E17" s="3"/>
      <c r="F17" s="10">
        <v>5239</v>
      </c>
      <c r="G17" s="10">
        <v>9556</v>
      </c>
      <c r="H17" s="6">
        <v>32735</v>
      </c>
      <c r="I17" s="57">
        <f ca="1">Assumptions!I80</f>
        <v>0</v>
      </c>
      <c r="J17" s="57">
        <f ca="1">Assumptions!J80</f>
        <v>0</v>
      </c>
      <c r="K17" s="57">
        <f ca="1">Assumptions!K80</f>
        <v>0</v>
      </c>
      <c r="L17" s="57">
        <f ca="1">Assumptions!L80</f>
        <v>0</v>
      </c>
      <c r="M17" s="57">
        <f ca="1">Assumptions!M80</f>
        <v>0</v>
      </c>
      <c r="N17" s="57">
        <f ca="1">Assumptions!N80</f>
        <v>0</v>
      </c>
    </row>
    <row r="18" spans="3:14" x14ac:dyDescent="0.25">
      <c r="C18" s="3"/>
      <c r="D18" s="3" t="s">
        <v>11</v>
      </c>
      <c r="E18" s="3"/>
      <c r="F18" s="10">
        <v>-3106</v>
      </c>
      <c r="G18" s="10">
        <v>-9320</v>
      </c>
      <c r="H18" s="6">
        <v>-4146</v>
      </c>
      <c r="I18" s="3"/>
      <c r="J18" s="3"/>
      <c r="K18" s="3"/>
      <c r="L18" s="3"/>
    </row>
    <row r="19" spans="3:14" x14ac:dyDescent="0.25">
      <c r="C19" s="3"/>
      <c r="D19" s="14" t="s">
        <v>12</v>
      </c>
      <c r="E19" s="14"/>
      <c r="F19" s="15">
        <v>949361</v>
      </c>
      <c r="G19" s="15">
        <v>1070592</v>
      </c>
      <c r="H19" s="19">
        <v>973728</v>
      </c>
      <c r="I19" s="45">
        <f ca="1">I12-SUM(I13:I17)</f>
        <v>1309656.8810009998</v>
      </c>
      <c r="J19" s="45">
        <f t="shared" ref="J19:M19" ca="1" si="2">J12-SUM(J13:J17)</f>
        <v>1744397.5104660247</v>
      </c>
      <c r="K19" s="45">
        <f t="shared" ca="1" si="2"/>
        <v>2003093.3029172588</v>
      </c>
      <c r="L19" s="45">
        <f t="shared" ca="1" si="2"/>
        <v>2235458.9517525425</v>
      </c>
      <c r="M19" s="45">
        <f t="shared" ca="1" si="2"/>
        <v>2470604.6777058993</v>
      </c>
      <c r="N19" s="45">
        <f t="shared" ref="N19" ca="1" si="3">N12-SUM(N13:N17)</f>
        <v>2670329.2857451863</v>
      </c>
    </row>
    <row r="20" spans="3:14" x14ac:dyDescent="0.25">
      <c r="C20" s="3"/>
      <c r="D20" s="3" t="s">
        <v>13</v>
      </c>
      <c r="E20" s="3"/>
      <c r="F20" s="10">
        <v>180376</v>
      </c>
      <c r="G20" s="10">
        <v>198090</v>
      </c>
      <c r="H20" s="6">
        <v>184950</v>
      </c>
      <c r="I20" s="57">
        <f ca="1">(0.19)*I19</f>
        <v>248834.80739018996</v>
      </c>
      <c r="J20" s="57">
        <f t="shared" ref="J20:M20" ca="1" si="4">(0.19)*J19</f>
        <v>331435.52698854473</v>
      </c>
      <c r="K20" s="57">
        <f t="shared" ca="1" si="4"/>
        <v>380587.7275542792</v>
      </c>
      <c r="L20" s="57">
        <f t="shared" ca="1" si="4"/>
        <v>424737.20083298307</v>
      </c>
      <c r="M20" s="57">
        <f t="shared" ca="1" si="4"/>
        <v>469414.88876412087</v>
      </c>
      <c r="N20" s="57">
        <f t="shared" ref="N20" ca="1" si="5">(0.19)*N19</f>
        <v>507362.56429158541</v>
      </c>
    </row>
    <row r="21" spans="3:14" x14ac:dyDescent="0.25">
      <c r="C21" s="3"/>
      <c r="D21" s="14" t="s">
        <v>14</v>
      </c>
      <c r="E21" s="14"/>
      <c r="F21" s="15">
        <v>768985</v>
      </c>
      <c r="G21" s="15">
        <v>872502</v>
      </c>
      <c r="H21" s="19">
        <v>788778</v>
      </c>
      <c r="I21" s="45">
        <f ca="1">I19-I20</f>
        <v>1060822.0736108099</v>
      </c>
      <c r="J21" s="45">
        <f t="shared" ref="J21:M21" ca="1" si="6">J19-J20</f>
        <v>1412961.98347748</v>
      </c>
      <c r="K21" s="45">
        <f t="shared" ca="1" si="6"/>
        <v>1622505.5753629797</v>
      </c>
      <c r="L21" s="45">
        <f t="shared" ca="1" si="6"/>
        <v>1810721.7509195595</v>
      </c>
      <c r="M21" s="45">
        <f t="shared" ca="1" si="6"/>
        <v>2001189.7889417785</v>
      </c>
      <c r="N21" s="45">
        <f t="shared" ref="N21" ca="1" si="7">N19-N20</f>
        <v>2162966.721453601</v>
      </c>
    </row>
    <row r="22" spans="3:14" x14ac:dyDescent="0.25">
      <c r="C22" s="3"/>
      <c r="D22" s="3" t="s">
        <v>15</v>
      </c>
      <c r="E22" s="3"/>
      <c r="H22" s="7"/>
    </row>
    <row r="23" spans="3:14" x14ac:dyDescent="0.25">
      <c r="C23" s="3"/>
      <c r="D23" s="12" t="s">
        <v>14</v>
      </c>
      <c r="E23" s="3"/>
      <c r="F23" s="8">
        <v>33.25</v>
      </c>
      <c r="G23" s="18">
        <v>38.79</v>
      </c>
      <c r="H23" s="7">
        <v>36.1</v>
      </c>
      <c r="I23" s="65">
        <f ca="1">I21/(I24/1000)</f>
        <v>48.55438255108654</v>
      </c>
      <c r="J23" s="65">
        <f t="shared" ref="J23:N23" ca="1" si="8">J21/(J24/1000)</f>
        <v>64.672010870201106</v>
      </c>
      <c r="K23" s="65">
        <f t="shared" ca="1" si="8"/>
        <v>74.262930944956267</v>
      </c>
      <c r="L23" s="65">
        <f t="shared" ca="1" si="8"/>
        <v>82.8776839913087</v>
      </c>
      <c r="M23" s="65">
        <f t="shared" ca="1" si="8"/>
        <v>91.595505963477251</v>
      </c>
      <c r="N23" s="65">
        <f t="shared" ca="1" si="8"/>
        <v>99.000120992257422</v>
      </c>
    </row>
    <row r="24" spans="3:14" x14ac:dyDescent="0.25">
      <c r="C24" s="3"/>
      <c r="D24" s="25" t="s">
        <v>16</v>
      </c>
      <c r="E24" s="3"/>
      <c r="F24" s="10">
        <v>23129862</v>
      </c>
      <c r="G24" s="10">
        <v>22491790</v>
      </c>
      <c r="H24" s="6">
        <v>21848122</v>
      </c>
      <c r="I24" s="10">
        <f>H24</f>
        <v>21848122</v>
      </c>
      <c r="J24" s="10">
        <f t="shared" ref="J24:N24" si="9">I24</f>
        <v>21848122</v>
      </c>
      <c r="K24" s="10">
        <f t="shared" si="9"/>
        <v>21848122</v>
      </c>
      <c r="L24" s="10">
        <f t="shared" si="9"/>
        <v>21848122</v>
      </c>
      <c r="M24" s="10">
        <f t="shared" si="9"/>
        <v>21848122</v>
      </c>
      <c r="N24" s="10">
        <f t="shared" si="9"/>
        <v>21848122</v>
      </c>
    </row>
    <row r="25" spans="3:14" x14ac:dyDescent="0.25">
      <c r="C25" s="3"/>
      <c r="D25" s="1" t="s">
        <v>17</v>
      </c>
      <c r="E25" s="3"/>
      <c r="H25" s="7"/>
      <c r="I25" s="9"/>
      <c r="J25" s="9"/>
      <c r="K25" s="9"/>
      <c r="L25" s="9"/>
      <c r="M25" s="9"/>
      <c r="N25" s="9"/>
    </row>
    <row r="26" spans="3:14" x14ac:dyDescent="0.25">
      <c r="C26" s="3"/>
      <c r="D26" s="12" t="s">
        <v>14</v>
      </c>
      <c r="F26" s="8">
        <v>32.78</v>
      </c>
      <c r="G26" s="8">
        <v>38.409999999999997</v>
      </c>
      <c r="H26" s="5">
        <v>35.9</v>
      </c>
      <c r="I26" s="122">
        <f ca="1">I21/(I27/1000)</f>
        <v>48.281670424142099</v>
      </c>
      <c r="J26" s="122">
        <f t="shared" ref="J26:N26" ca="1" si="10">J21/(J27/1000)</f>
        <v>64.308771946925134</v>
      </c>
      <c r="K26" s="122">
        <f t="shared" ca="1" si="10"/>
        <v>73.845823347515008</v>
      </c>
      <c r="L26" s="122">
        <f t="shared" ca="1" si="10"/>
        <v>82.412190491237553</v>
      </c>
      <c r="M26" s="122">
        <f t="shared" ca="1" si="10"/>
        <v>91.08104766048946</v>
      </c>
      <c r="N26" s="122">
        <f t="shared" ca="1" si="10"/>
        <v>98.444073687255667</v>
      </c>
    </row>
    <row r="27" spans="3:14" x14ac:dyDescent="0.25">
      <c r="C27" s="3"/>
      <c r="D27" s="12" t="s">
        <v>208</v>
      </c>
      <c r="F27" s="11">
        <v>23457630</v>
      </c>
      <c r="G27" s="11">
        <v>22718290</v>
      </c>
      <c r="H27" s="4">
        <v>21971528</v>
      </c>
      <c r="I27" s="57">
        <f>H27</f>
        <v>21971528</v>
      </c>
      <c r="J27" s="57">
        <f t="shared" ref="J27:N27" si="11">I27</f>
        <v>21971528</v>
      </c>
      <c r="K27" s="57">
        <f t="shared" si="11"/>
        <v>21971528</v>
      </c>
      <c r="L27" s="57">
        <f t="shared" si="11"/>
        <v>21971528</v>
      </c>
      <c r="M27" s="57">
        <f t="shared" si="11"/>
        <v>21971528</v>
      </c>
      <c r="N27" s="57">
        <f t="shared" si="11"/>
        <v>21971528</v>
      </c>
    </row>
    <row r="28" spans="3:14" x14ac:dyDescent="0.25">
      <c r="C28" s="3"/>
      <c r="D28" s="3"/>
      <c r="E28" s="3"/>
      <c r="I28" s="3"/>
      <c r="J28" s="3"/>
      <c r="K28" s="3"/>
      <c r="L28" s="3"/>
    </row>
    <row r="29" spans="3:14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4" x14ac:dyDescent="0.25">
      <c r="C30" s="3"/>
      <c r="D30" s="17" t="s">
        <v>19</v>
      </c>
      <c r="E30" s="17"/>
      <c r="F30" s="60">
        <v>44561</v>
      </c>
      <c r="G30" s="60">
        <f>EOMONTH(F30,12)</f>
        <v>44926</v>
      </c>
      <c r="H30" s="60">
        <f t="shared" ref="H30:N30" si="12">EOMONTH(G30,12)</f>
        <v>45291</v>
      </c>
      <c r="I30" s="61">
        <f t="shared" si="12"/>
        <v>45657</v>
      </c>
      <c r="J30" s="61">
        <f t="shared" si="12"/>
        <v>46022</v>
      </c>
      <c r="K30" s="61">
        <f t="shared" si="12"/>
        <v>46387</v>
      </c>
      <c r="L30" s="61">
        <f t="shared" si="12"/>
        <v>46752</v>
      </c>
      <c r="M30" s="61">
        <f t="shared" si="12"/>
        <v>47118</v>
      </c>
      <c r="N30" s="61">
        <f t="shared" si="12"/>
        <v>47483</v>
      </c>
    </row>
    <row r="31" spans="3:14" x14ac:dyDescent="0.25">
      <c r="C31" s="3"/>
      <c r="D31" s="14" t="s">
        <v>20</v>
      </c>
      <c r="E31" s="14"/>
      <c r="F31" s="14"/>
      <c r="G31" s="14"/>
      <c r="H31" s="23"/>
      <c r="I31" s="14"/>
      <c r="J31" s="14"/>
      <c r="K31" s="14"/>
      <c r="L31" s="14"/>
      <c r="M31" s="14"/>
      <c r="N31" s="14"/>
    </row>
    <row r="32" spans="3:14" x14ac:dyDescent="0.25">
      <c r="D32" s="1" t="s">
        <v>21</v>
      </c>
      <c r="G32" s="2">
        <v>95966</v>
      </c>
      <c r="H32" s="6">
        <v>69807</v>
      </c>
      <c r="I32" s="100"/>
      <c r="J32" s="100"/>
      <c r="K32" s="100"/>
      <c r="L32" s="100"/>
      <c r="M32" s="100"/>
      <c r="N32" s="100"/>
    </row>
    <row r="33" spans="4:14" x14ac:dyDescent="0.25">
      <c r="D33" s="1" t="s">
        <v>22</v>
      </c>
      <c r="G33" s="2">
        <v>709321</v>
      </c>
      <c r="H33" s="6">
        <v>663893</v>
      </c>
      <c r="I33" s="2">
        <f ca="1">Assumptions!I112</f>
        <v>632487.35490000003</v>
      </c>
      <c r="J33" s="2">
        <f ca="1">Assumptions!J112</f>
        <v>664954.57832250011</v>
      </c>
      <c r="K33" s="2">
        <f ca="1">Assumptions!K112</f>
        <v>671695.95786447008</v>
      </c>
      <c r="L33" s="2">
        <f ca="1">Assumptions!L112</f>
        <v>675051.48368834041</v>
      </c>
      <c r="M33" s="2">
        <f ca="1">Assumptions!M112</f>
        <v>669994.4888693965</v>
      </c>
      <c r="N33" s="2">
        <f ca="1">Assumptions!N112</f>
        <v>720898.79480184999</v>
      </c>
    </row>
    <row r="34" spans="4:14" x14ac:dyDescent="0.25">
      <c r="D34" s="1" t="s">
        <v>23</v>
      </c>
      <c r="G34" s="2">
        <v>441694</v>
      </c>
      <c r="H34" s="6">
        <v>385865</v>
      </c>
      <c r="I34" s="2">
        <f ca="1">Assumptions!I118</f>
        <v>326445.08640000003</v>
      </c>
      <c r="J34" s="2">
        <f ca="1">Assumptions!J118</f>
        <v>334250.50137011003</v>
      </c>
      <c r="K34" s="2">
        <f ca="1">Assumptions!K118</f>
        <v>335847.97893223504</v>
      </c>
      <c r="L34" s="2">
        <f ca="1">Assumptions!L118</f>
        <v>342718.44556484971</v>
      </c>
      <c r="M34" s="2">
        <f ca="1">Assumptions!M118</f>
        <v>357330.39406367816</v>
      </c>
      <c r="N34" s="2">
        <f ca="1">Assumptions!N118</f>
        <v>384479.35722765332</v>
      </c>
    </row>
    <row r="35" spans="4:14" x14ac:dyDescent="0.25">
      <c r="D35" s="1" t="s">
        <v>24</v>
      </c>
      <c r="G35" s="2">
        <v>128108</v>
      </c>
      <c r="H35" s="6">
        <v>110638</v>
      </c>
      <c r="I35" s="2">
        <f ca="1">Assumptions!I124</f>
        <v>110175.21666000001</v>
      </c>
      <c r="J35" s="2">
        <f ca="1">Assumptions!J124</f>
        <v>110825.76305375002</v>
      </c>
      <c r="K35" s="2">
        <f ca="1">Assumptions!K124</f>
        <v>119945.70676151251</v>
      </c>
      <c r="L35" s="2">
        <f ca="1">Assumptions!L124</f>
        <v>119432.18557562944</v>
      </c>
      <c r="M35" s="2">
        <f ca="1">Assumptions!M124</f>
        <v>117249.0355521444</v>
      </c>
      <c r="N35" s="2">
        <f ca="1">Assumptions!N124</f>
        <v>126157.28909032376</v>
      </c>
    </row>
    <row r="36" spans="4:14" x14ac:dyDescent="0.25">
      <c r="D36" s="1" t="s">
        <v>25</v>
      </c>
      <c r="G36" s="2">
        <v>1375089</v>
      </c>
      <c r="H36" s="6">
        <v>1230203</v>
      </c>
      <c r="I36" s="2">
        <f ca="1">SUM(I32:I35)</f>
        <v>1069107.65796</v>
      </c>
      <c r="J36" s="2">
        <f t="shared" ref="J36:M36" ca="1" si="13">SUM(J32:J35)</f>
        <v>1110030.84274636</v>
      </c>
      <c r="K36" s="2">
        <f t="shared" ca="1" si="13"/>
        <v>1127489.6435582177</v>
      </c>
      <c r="L36" s="2">
        <f t="shared" ca="1" si="13"/>
        <v>1137202.1148288194</v>
      </c>
      <c r="M36" s="2">
        <f t="shared" ca="1" si="13"/>
        <v>1144573.9184852191</v>
      </c>
      <c r="N36" s="2">
        <f t="shared" ref="N36" ca="1" si="14">SUM(N32:N35)</f>
        <v>1231535.4411198271</v>
      </c>
    </row>
    <row r="37" spans="4:14" x14ac:dyDescent="0.25">
      <c r="D37" s="1" t="s">
        <v>26</v>
      </c>
      <c r="G37" s="2">
        <v>778600</v>
      </c>
      <c r="H37" s="6">
        <v>803374</v>
      </c>
      <c r="I37" s="2">
        <f ca="1">Assumptions!I108</f>
        <v>933984.14155119995</v>
      </c>
      <c r="J37" s="2">
        <f ca="1">Assumptions!J108</f>
        <v>1001587.8570139875</v>
      </c>
      <c r="K37" s="2">
        <f ca="1">Assumptions!K108</f>
        <v>1077153.6522737404</v>
      </c>
      <c r="L37" s="2">
        <f ca="1">Assumptions!L108</f>
        <v>1162210.1392184712</v>
      </c>
      <c r="M37" s="2">
        <f ca="1">Assumptions!M108</f>
        <v>1248388.1803492974</v>
      </c>
      <c r="N37" s="2">
        <f ca="1">Assumptions!N108</f>
        <v>1331651.991148911</v>
      </c>
    </row>
    <row r="38" spans="4:14" x14ac:dyDescent="0.25">
      <c r="D38" s="1" t="s">
        <v>27</v>
      </c>
      <c r="G38" s="2">
        <v>660170</v>
      </c>
      <c r="H38" s="6">
        <v>670108</v>
      </c>
      <c r="I38" s="2"/>
      <c r="J38" s="2"/>
      <c r="K38" s="2"/>
      <c r="L38" s="2"/>
      <c r="M38" s="2"/>
      <c r="N38" s="2"/>
    </row>
    <row r="39" spans="4:14" x14ac:dyDescent="0.25">
      <c r="D39" s="1" t="s">
        <v>28</v>
      </c>
      <c r="G39" s="2">
        <v>306054</v>
      </c>
      <c r="H39" s="6">
        <v>285429</v>
      </c>
      <c r="I39" s="2"/>
      <c r="J39" s="2"/>
      <c r="K39" s="2"/>
      <c r="L39" s="2"/>
      <c r="M39" s="2"/>
      <c r="N39" s="2"/>
    </row>
    <row r="40" spans="4:14" x14ac:dyDescent="0.25">
      <c r="D40" s="1" t="s">
        <v>29</v>
      </c>
      <c r="G40" s="2">
        <v>27080</v>
      </c>
      <c r="H40" s="6">
        <v>31199</v>
      </c>
      <c r="I40" s="2"/>
      <c r="J40" s="2"/>
      <c r="K40" s="2"/>
      <c r="L40" s="2"/>
      <c r="M40" s="2"/>
      <c r="N40" s="2"/>
    </row>
    <row r="41" spans="4:14" x14ac:dyDescent="0.25">
      <c r="D41" s="1" t="s">
        <v>30</v>
      </c>
      <c r="G41" s="2">
        <v>345402</v>
      </c>
      <c r="H41" s="6">
        <v>335242</v>
      </c>
      <c r="I41" s="2"/>
      <c r="J41" s="2"/>
      <c r="K41" s="2"/>
      <c r="L41" s="2"/>
      <c r="M41" s="2"/>
      <c r="N41" s="2"/>
    </row>
    <row r="42" spans="4:14" x14ac:dyDescent="0.25">
      <c r="D42" s="20" t="s">
        <v>31</v>
      </c>
      <c r="E42" s="20"/>
      <c r="F42" s="20"/>
      <c r="G42" s="21">
        <v>3492395</v>
      </c>
      <c r="H42" s="19">
        <v>3355555</v>
      </c>
      <c r="I42" s="21"/>
      <c r="J42" s="21"/>
      <c r="K42" s="21"/>
      <c r="L42" s="21"/>
      <c r="M42" s="21"/>
      <c r="N42" s="21"/>
    </row>
    <row r="43" spans="4:14" x14ac:dyDescent="0.25">
      <c r="D43" s="1" t="s">
        <v>32</v>
      </c>
      <c r="H43" s="7"/>
    </row>
    <row r="44" spans="4:14" x14ac:dyDescent="0.25">
      <c r="D44" s="1" t="s">
        <v>33</v>
      </c>
      <c r="G44" s="2">
        <v>252538</v>
      </c>
      <c r="H44" s="6">
        <v>210411</v>
      </c>
      <c r="I44" s="2">
        <f ca="1">Assumptions!I131</f>
        <v>204028.179</v>
      </c>
      <c r="J44" s="2">
        <f ca="1">Assumptions!J131</f>
        <v>221651.52610750005</v>
      </c>
      <c r="K44" s="2">
        <f ca="1">Assumptions!K131</f>
        <v>239891.41352302502</v>
      </c>
      <c r="L44" s="2">
        <f ca="1">Assumptions!L131</f>
        <v>259635.18603397708</v>
      </c>
      <c r="M44" s="2">
        <f ca="1">Assumptions!M131</f>
        <v>279164.37036224856</v>
      </c>
      <c r="N44" s="2">
        <f ca="1">Assumptions!N131</f>
        <v>300374.49783410417</v>
      </c>
    </row>
    <row r="45" spans="4:14" x14ac:dyDescent="0.25">
      <c r="D45" s="1" t="s">
        <v>34</v>
      </c>
      <c r="G45" s="2">
        <v>205253</v>
      </c>
      <c r="H45" s="6">
        <v>196138</v>
      </c>
      <c r="I45" s="2">
        <f ca="1">Assumptions!I145</f>
        <v>212189.30616000001</v>
      </c>
      <c r="J45" s="2">
        <f ca="1">Assumptions!J145</f>
        <v>230517.58715180002</v>
      </c>
      <c r="K45" s="2">
        <f ca="1">Assumptions!K145</f>
        <v>249487.07006394601</v>
      </c>
      <c r="L45" s="2">
        <f ca="1">Assumptions!L145</f>
        <v>270020.59347533615</v>
      </c>
      <c r="M45" s="2">
        <f ca="1">Assumptions!M145</f>
        <v>290330.94517673849</v>
      </c>
      <c r="N45" s="2">
        <f ca="1">Assumptions!N145</f>
        <v>312389.47774746834</v>
      </c>
    </row>
    <row r="46" spans="4:14" x14ac:dyDescent="0.25">
      <c r="D46" s="1" t="s">
        <v>35</v>
      </c>
      <c r="G46" s="2">
        <v>200031</v>
      </c>
      <c r="H46" s="6">
        <v>160308</v>
      </c>
      <c r="I46" s="2">
        <f>H46</f>
        <v>160308</v>
      </c>
      <c r="J46" s="2">
        <f t="shared" ref="J46:M46" si="15">I46</f>
        <v>160308</v>
      </c>
      <c r="K46" s="2">
        <f t="shared" si="15"/>
        <v>160308</v>
      </c>
      <c r="L46" s="2">
        <f t="shared" si="15"/>
        <v>160308</v>
      </c>
      <c r="M46" s="2">
        <f t="shared" si="15"/>
        <v>160308</v>
      </c>
      <c r="N46" s="2">
        <f t="shared" ref="N46" si="16">M46</f>
        <v>160308</v>
      </c>
    </row>
    <row r="47" spans="4:14" x14ac:dyDescent="0.25">
      <c r="D47" s="1" t="s">
        <v>36</v>
      </c>
      <c r="G47" s="2">
        <v>192759</v>
      </c>
      <c r="H47" s="6">
        <v>202022</v>
      </c>
      <c r="I47" s="2">
        <f>H47</f>
        <v>202022</v>
      </c>
      <c r="J47" s="2">
        <f t="shared" ref="J47:M47" si="17">I47</f>
        <v>202022</v>
      </c>
      <c r="K47" s="2">
        <f t="shared" si="17"/>
        <v>202022</v>
      </c>
      <c r="L47" s="2">
        <f t="shared" si="17"/>
        <v>202022</v>
      </c>
      <c r="M47" s="2">
        <f t="shared" si="17"/>
        <v>202022</v>
      </c>
      <c r="N47" s="2">
        <f t="shared" ref="N47" si="18">M47</f>
        <v>202022</v>
      </c>
    </row>
    <row r="48" spans="4:14" x14ac:dyDescent="0.25">
      <c r="D48" s="1" t="s">
        <v>37</v>
      </c>
      <c r="G48" s="2">
        <v>191096</v>
      </c>
      <c r="H48" s="6">
        <v>219984</v>
      </c>
      <c r="I48" s="2">
        <f ca="1">Assumptions!I139</f>
        <v>236672.68764000002</v>
      </c>
      <c r="J48" s="2">
        <f ca="1">Assumptions!J139</f>
        <v>257115.77028470003</v>
      </c>
      <c r="K48" s="2">
        <f ca="1">Assumptions!K139</f>
        <v>278274.03968670906</v>
      </c>
      <c r="L48" s="2">
        <f ca="1">Assumptions!L139</f>
        <v>301176.81579941342</v>
      </c>
      <c r="M48" s="2">
        <f ca="1">Assumptions!M139</f>
        <v>323830.66962020833</v>
      </c>
      <c r="N48" s="2">
        <f ca="1">Assumptions!N139</f>
        <v>348434.41748756083</v>
      </c>
    </row>
    <row r="49" spans="4:14" x14ac:dyDescent="0.25">
      <c r="D49" s="1" t="s">
        <v>38</v>
      </c>
      <c r="G49" s="2">
        <v>106054</v>
      </c>
      <c r="H49" s="6">
        <v>192219</v>
      </c>
      <c r="I49" s="2">
        <f>H49</f>
        <v>192219</v>
      </c>
      <c r="J49" s="2">
        <f t="shared" ref="J49:N49" si="19">I49</f>
        <v>192219</v>
      </c>
      <c r="K49" s="2">
        <f t="shared" si="19"/>
        <v>192219</v>
      </c>
      <c r="L49" s="2">
        <f t="shared" si="19"/>
        <v>192219</v>
      </c>
      <c r="M49" s="2">
        <f t="shared" si="19"/>
        <v>192219</v>
      </c>
      <c r="N49" s="2">
        <f t="shared" si="19"/>
        <v>192219</v>
      </c>
    </row>
    <row r="50" spans="4:14" x14ac:dyDescent="0.25">
      <c r="D50" s="1" t="s">
        <v>39</v>
      </c>
      <c r="G50" s="2">
        <v>1147731</v>
      </c>
      <c r="H50" s="6">
        <v>1181082</v>
      </c>
      <c r="I50" s="2">
        <f ca="1">SUM(I44:I49)</f>
        <v>1207439.1728000001</v>
      </c>
      <c r="J50" s="2">
        <f t="shared" ref="J50:M50" ca="1" si="20">SUM(J44:J49)</f>
        <v>1263833.8835440001</v>
      </c>
      <c r="K50" s="2">
        <f t="shared" ca="1" si="20"/>
        <v>1322201.5232736801</v>
      </c>
      <c r="L50" s="2">
        <f t="shared" ca="1" si="20"/>
        <v>1385381.5953087267</v>
      </c>
      <c r="M50" s="2">
        <f t="shared" ca="1" si="20"/>
        <v>1447874.9851591955</v>
      </c>
      <c r="N50" s="2">
        <f t="shared" ref="N50" ca="1" si="21">SUM(N44:N49)</f>
        <v>1515747.3930691334</v>
      </c>
    </row>
    <row r="51" spans="4:14" x14ac:dyDescent="0.25">
      <c r="D51" s="1" t="s">
        <v>40</v>
      </c>
      <c r="G51" s="2">
        <v>1908480</v>
      </c>
      <c r="H51" s="6">
        <v>1888620</v>
      </c>
      <c r="I51" s="2"/>
      <c r="J51" s="2"/>
      <c r="K51" s="2"/>
      <c r="L51" s="2"/>
      <c r="M51" s="2"/>
      <c r="N51" s="2"/>
    </row>
    <row r="52" spans="4:14" x14ac:dyDescent="0.25">
      <c r="D52" s="1" t="s">
        <v>41</v>
      </c>
      <c r="G52" s="2">
        <v>111360</v>
      </c>
      <c r="H52" s="6">
        <v>108679</v>
      </c>
      <c r="I52" s="2"/>
      <c r="J52" s="2"/>
      <c r="K52" s="2"/>
      <c r="L52" s="2"/>
      <c r="M52" s="2"/>
      <c r="N52" s="2"/>
    </row>
    <row r="53" spans="4:14" x14ac:dyDescent="0.25">
      <c r="D53" s="1" t="s">
        <v>42</v>
      </c>
      <c r="G53" s="2">
        <v>300031</v>
      </c>
      <c r="H53" s="6">
        <v>327112</v>
      </c>
      <c r="I53" s="2"/>
      <c r="J53" s="2"/>
      <c r="K53" s="2"/>
      <c r="L53" s="2"/>
      <c r="M53" s="2"/>
      <c r="N53" s="2"/>
    </row>
    <row r="54" spans="4:14" x14ac:dyDescent="0.25">
      <c r="D54" s="20" t="s">
        <v>43</v>
      </c>
      <c r="E54" s="20"/>
      <c r="F54" s="20"/>
      <c r="G54" s="21">
        <v>3467602</v>
      </c>
      <c r="H54" s="19">
        <v>3505493</v>
      </c>
      <c r="I54" s="21"/>
      <c r="J54" s="21"/>
      <c r="K54" s="21"/>
      <c r="L54" s="21"/>
      <c r="M54" s="21"/>
      <c r="N54" s="21"/>
    </row>
    <row r="55" spans="4:14" x14ac:dyDescent="0.25">
      <c r="D55" s="1" t="s">
        <v>44</v>
      </c>
      <c r="H55" s="7"/>
    </row>
    <row r="56" spans="4:14" x14ac:dyDescent="0.25">
      <c r="D56" s="1" t="s">
        <v>45</v>
      </c>
      <c r="G56" s="1">
        <v>448</v>
      </c>
      <c r="H56" s="7">
        <v>448</v>
      </c>
    </row>
    <row r="57" spans="4:14" x14ac:dyDescent="0.25">
      <c r="D57" s="1" t="s">
        <v>52</v>
      </c>
      <c r="G57" s="1">
        <v>448</v>
      </c>
      <c r="H57" s="7">
        <v>448</v>
      </c>
    </row>
    <row r="58" spans="4:14" x14ac:dyDescent="0.25">
      <c r="H58" s="7"/>
    </row>
    <row r="59" spans="4:14" x14ac:dyDescent="0.25">
      <c r="D59" s="1" t="s">
        <v>46</v>
      </c>
      <c r="G59" s="2">
        <v>850368</v>
      </c>
      <c r="H59" s="6">
        <v>871110</v>
      </c>
      <c r="I59"/>
      <c r="J59"/>
      <c r="K59"/>
      <c r="L59"/>
      <c r="M59"/>
      <c r="N59"/>
    </row>
    <row r="60" spans="4:14" x14ac:dyDescent="0.25">
      <c r="D60" s="1" t="s">
        <v>47</v>
      </c>
      <c r="G60" s="50">
        <v>-7325656</v>
      </c>
      <c r="H60" s="51">
        <v>-8212437</v>
      </c>
      <c r="I60"/>
      <c r="J60"/>
      <c r="K60"/>
      <c r="L60"/>
      <c r="M60"/>
      <c r="N60"/>
    </row>
    <row r="61" spans="4:14" x14ac:dyDescent="0.25">
      <c r="D61" s="1" t="s">
        <v>48</v>
      </c>
      <c r="G61" s="50">
        <v>6726866</v>
      </c>
      <c r="H61" s="51">
        <v>7510756</v>
      </c>
      <c r="I61"/>
      <c r="J61"/>
      <c r="K61"/>
      <c r="L61"/>
      <c r="M61"/>
      <c r="N61"/>
    </row>
    <row r="62" spans="4:14" x14ac:dyDescent="0.25">
      <c r="D62" s="1" t="s">
        <v>49</v>
      </c>
      <c r="G62" s="50">
        <v>-227233</v>
      </c>
      <c r="H62" s="51">
        <v>-319815</v>
      </c>
      <c r="I62"/>
      <c r="J62"/>
      <c r="K62"/>
      <c r="L62"/>
      <c r="M62"/>
      <c r="N62"/>
    </row>
    <row r="63" spans="4:14" x14ac:dyDescent="0.25">
      <c r="D63" s="20" t="s">
        <v>50</v>
      </c>
      <c r="E63" s="20"/>
      <c r="F63" s="20"/>
      <c r="G63" s="21">
        <v>24793</v>
      </c>
      <c r="H63" s="75">
        <v>-149938</v>
      </c>
      <c r="I63" s="21"/>
      <c r="J63" s="21"/>
      <c r="K63" s="21"/>
      <c r="L63" s="21"/>
      <c r="M63" s="21"/>
      <c r="N63" s="21"/>
    </row>
    <row r="64" spans="4:14" x14ac:dyDescent="0.25">
      <c r="D64" s="20" t="s">
        <v>51</v>
      </c>
      <c r="E64" s="20"/>
      <c r="F64" s="20"/>
      <c r="G64" s="21">
        <v>3492395</v>
      </c>
      <c r="H64" s="19">
        <v>3355555</v>
      </c>
      <c r="I64" s="21"/>
      <c r="J64" s="21"/>
      <c r="K64" s="21"/>
      <c r="L64" s="21"/>
      <c r="M64" s="21"/>
      <c r="N64" s="21"/>
    </row>
    <row r="65" spans="4:14" x14ac:dyDescent="0.25">
      <c r="D65" s="70"/>
      <c r="E65" s="70"/>
      <c r="F65" s="70"/>
      <c r="G65" s="71"/>
      <c r="H65" s="69"/>
      <c r="I65"/>
      <c r="J65"/>
      <c r="K65"/>
      <c r="L65"/>
      <c r="M65"/>
      <c r="N65"/>
    </row>
    <row r="66" spans="4:14" x14ac:dyDescent="0.25">
      <c r="D66" s="1" t="s">
        <v>170</v>
      </c>
      <c r="G66" s="2">
        <f t="shared" ref="G66:N66" si="22">G36-G50</f>
        <v>227358</v>
      </c>
      <c r="H66" s="6">
        <f t="shared" si="22"/>
        <v>49121</v>
      </c>
      <c r="I66" s="50">
        <f t="shared" ca="1" si="22"/>
        <v>-138331.51484000008</v>
      </c>
      <c r="J66" s="50">
        <f t="shared" ca="1" si="22"/>
        <v>-153803.0407976401</v>
      </c>
      <c r="K66" s="50">
        <f t="shared" ca="1" si="22"/>
        <v>-194711.87971546245</v>
      </c>
      <c r="L66" s="50">
        <f t="shared" ca="1" si="22"/>
        <v>-248179.48047990724</v>
      </c>
      <c r="M66" s="50">
        <f t="shared" ca="1" si="22"/>
        <v>-303301.06667397637</v>
      </c>
      <c r="N66" s="50">
        <f t="shared" ca="1" si="22"/>
        <v>-284211.9519493063</v>
      </c>
    </row>
    <row r="67" spans="4:14" x14ac:dyDescent="0.25">
      <c r="D67" s="1" t="s">
        <v>171</v>
      </c>
      <c r="H67" s="51">
        <f>H66-G66</f>
        <v>-178237</v>
      </c>
      <c r="I67" s="50">
        <f ca="1">I66-H66</f>
        <v>-187452.51484000008</v>
      </c>
      <c r="J67" s="50">
        <f t="shared" ref="J67:N67" ca="1" si="23">J66-I66</f>
        <v>-15471.525957640028</v>
      </c>
      <c r="K67" s="50">
        <f t="shared" ca="1" si="23"/>
        <v>-40908.838917822344</v>
      </c>
      <c r="L67" s="50">
        <f t="shared" ca="1" si="23"/>
        <v>-53467.600764444796</v>
      </c>
      <c r="M67" s="50">
        <f t="shared" ca="1" si="23"/>
        <v>-55121.586194069125</v>
      </c>
      <c r="N67" s="50">
        <f t="shared" ca="1" si="23"/>
        <v>19089.114724670071</v>
      </c>
    </row>
    <row r="69" spans="4:14" x14ac:dyDescent="0.25">
      <c r="D69" s="17" t="s">
        <v>53</v>
      </c>
      <c r="E69" s="17"/>
      <c r="F69" s="60">
        <v>44561</v>
      </c>
      <c r="G69" s="60">
        <f>EOMONTH(F69,12)</f>
        <v>44926</v>
      </c>
      <c r="H69" s="60">
        <f t="shared" ref="H69" si="24">EOMONTH(G69,12)</f>
        <v>45291</v>
      </c>
      <c r="I69" s="9"/>
      <c r="J69"/>
      <c r="K69"/>
      <c r="L69"/>
      <c r="M69"/>
    </row>
    <row r="70" spans="4:14" x14ac:dyDescent="0.25">
      <c r="D70" s="20" t="s">
        <v>55</v>
      </c>
      <c r="E70" s="20"/>
      <c r="F70" s="20"/>
      <c r="G70" s="20"/>
      <c r="H70" s="16"/>
      <c r="I70" s="9"/>
      <c r="J70"/>
      <c r="K70"/>
      <c r="L70"/>
      <c r="M70"/>
    </row>
    <row r="71" spans="4:14" x14ac:dyDescent="0.25">
      <c r="D71" s="1" t="s">
        <v>14</v>
      </c>
      <c r="F71" s="2">
        <v>768985</v>
      </c>
      <c r="G71" s="2">
        <v>872502</v>
      </c>
      <c r="H71" s="6">
        <v>788778</v>
      </c>
      <c r="I71" s="9"/>
      <c r="J71"/>
      <c r="K71"/>
      <c r="L71"/>
      <c r="M71"/>
      <c r="N71"/>
    </row>
    <row r="72" spans="4:14" x14ac:dyDescent="0.25">
      <c r="D72" s="1" t="s">
        <v>56</v>
      </c>
      <c r="H72" s="7"/>
      <c r="I72" s="9"/>
      <c r="J72"/>
      <c r="K72"/>
      <c r="L72"/>
      <c r="M72"/>
      <c r="N72"/>
    </row>
    <row r="73" spans="4:14" x14ac:dyDescent="0.25">
      <c r="D73" s="25" t="s">
        <v>57</v>
      </c>
      <c r="F73" s="2">
        <v>44982</v>
      </c>
      <c r="G73" s="2">
        <v>46784</v>
      </c>
      <c r="H73" s="6">
        <v>48951</v>
      </c>
      <c r="I73" s="9"/>
      <c r="J73"/>
      <c r="K73"/>
      <c r="L73"/>
      <c r="M73"/>
      <c r="N73"/>
    </row>
    <row r="74" spans="4:14" x14ac:dyDescent="0.25">
      <c r="D74" s="25" t="s">
        <v>8</v>
      </c>
      <c r="F74" s="2">
        <v>63075</v>
      </c>
      <c r="G74" s="2">
        <v>66239</v>
      </c>
      <c r="H74" s="6">
        <v>72213</v>
      </c>
      <c r="I74" s="9"/>
      <c r="J74"/>
      <c r="K74"/>
      <c r="L74"/>
      <c r="M74"/>
      <c r="N74"/>
    </row>
    <row r="75" spans="4:14" x14ac:dyDescent="0.25">
      <c r="D75" s="25" t="s">
        <v>58</v>
      </c>
      <c r="F75" s="1">
        <v>563</v>
      </c>
      <c r="G75" s="2">
        <v>26517</v>
      </c>
      <c r="H75" s="51">
        <v>-13373</v>
      </c>
      <c r="I75" s="9"/>
      <c r="J75"/>
      <c r="K75"/>
      <c r="L75"/>
      <c r="M75"/>
      <c r="N75"/>
    </row>
    <row r="76" spans="4:14" x14ac:dyDescent="0.25">
      <c r="D76" s="25" t="s">
        <v>59</v>
      </c>
      <c r="F76" s="2">
        <v>19595</v>
      </c>
      <c r="G76" s="2">
        <v>19661</v>
      </c>
      <c r="H76" s="6">
        <v>17928</v>
      </c>
      <c r="I76" s="9"/>
      <c r="J76"/>
      <c r="K76"/>
      <c r="L76"/>
      <c r="M76"/>
      <c r="N76"/>
    </row>
    <row r="77" spans="4:14" x14ac:dyDescent="0.25">
      <c r="D77" s="25" t="s">
        <v>60</v>
      </c>
      <c r="F77" s="2">
        <v>6849</v>
      </c>
      <c r="G77" s="24" t="s">
        <v>54</v>
      </c>
      <c r="H77" s="27" t="s">
        <v>54</v>
      </c>
      <c r="I77" s="9"/>
      <c r="J77"/>
      <c r="K77"/>
      <c r="L77"/>
      <c r="M77"/>
      <c r="N77"/>
    </row>
    <row r="78" spans="4:14" x14ac:dyDescent="0.25">
      <c r="D78" s="25" t="s">
        <v>61</v>
      </c>
      <c r="F78" s="1">
        <v>381</v>
      </c>
      <c r="G78" s="24" t="s">
        <v>54</v>
      </c>
      <c r="H78" s="27" t="s">
        <v>54</v>
      </c>
      <c r="I78" s="9"/>
      <c r="J78"/>
      <c r="K78"/>
      <c r="L78"/>
      <c r="M78"/>
      <c r="N78"/>
    </row>
    <row r="79" spans="4:14" x14ac:dyDescent="0.25">
      <c r="D79" s="1" t="s">
        <v>62</v>
      </c>
      <c r="H79" s="7"/>
      <c r="I79" s="9"/>
      <c r="J79"/>
      <c r="K79"/>
      <c r="L79"/>
      <c r="M79"/>
      <c r="N79"/>
    </row>
    <row r="80" spans="4:14" x14ac:dyDescent="0.25">
      <c r="D80" s="25" t="s">
        <v>63</v>
      </c>
      <c r="F80" s="50">
        <v>-66468</v>
      </c>
      <c r="G80" s="50">
        <v>-83417</v>
      </c>
      <c r="H80" s="51">
        <v>50296</v>
      </c>
      <c r="I80" s="9"/>
      <c r="J80"/>
      <c r="K80"/>
      <c r="L80"/>
      <c r="M80"/>
      <c r="N80"/>
    </row>
    <row r="81" spans="4:14" x14ac:dyDescent="0.25">
      <c r="D81" s="25" t="s">
        <v>23</v>
      </c>
      <c r="F81" s="50">
        <v>-118718</v>
      </c>
      <c r="G81" s="50">
        <v>-43392</v>
      </c>
      <c r="H81" s="51">
        <v>71021</v>
      </c>
      <c r="I81" s="9"/>
      <c r="J81"/>
      <c r="K81"/>
      <c r="L81"/>
      <c r="M81"/>
      <c r="N81"/>
    </row>
    <row r="82" spans="4:14" x14ac:dyDescent="0.25">
      <c r="D82" s="25" t="s">
        <v>64</v>
      </c>
      <c r="F82" s="50">
        <v>-5040</v>
      </c>
      <c r="G82" s="50">
        <v>-16263</v>
      </c>
      <c r="H82" s="51">
        <v>20666</v>
      </c>
      <c r="I82" s="9"/>
      <c r="J82"/>
      <c r="K82"/>
      <c r="L82"/>
      <c r="M82"/>
      <c r="N82"/>
    </row>
    <row r="83" spans="4:14" x14ac:dyDescent="0.25">
      <c r="D83" s="25" t="s">
        <v>33</v>
      </c>
      <c r="F83" s="50">
        <v>93973</v>
      </c>
      <c r="G83" s="50">
        <v>-13826</v>
      </c>
      <c r="H83" s="51">
        <v>-40554</v>
      </c>
      <c r="I83" s="9"/>
      <c r="J83"/>
      <c r="K83"/>
      <c r="L83"/>
      <c r="M83"/>
      <c r="N83"/>
    </row>
    <row r="84" spans="4:14" x14ac:dyDescent="0.25">
      <c r="D84" s="25" t="s">
        <v>37</v>
      </c>
      <c r="F84" s="50">
        <v>19688</v>
      </c>
      <c r="G84" s="50">
        <v>55859</v>
      </c>
      <c r="H84" s="51">
        <v>12260</v>
      </c>
      <c r="I84" s="9"/>
      <c r="J84"/>
      <c r="K84"/>
      <c r="L84"/>
      <c r="M84"/>
      <c r="N84"/>
    </row>
    <row r="85" spans="4:14" x14ac:dyDescent="0.25">
      <c r="D85" s="25" t="s">
        <v>65</v>
      </c>
      <c r="F85" s="50">
        <v>80960</v>
      </c>
      <c r="G85" s="50">
        <v>-71597</v>
      </c>
      <c r="H85" s="51">
        <v>-62312</v>
      </c>
      <c r="I85" s="9"/>
      <c r="J85"/>
      <c r="K85"/>
      <c r="L85"/>
      <c r="M85"/>
      <c r="N85"/>
    </row>
    <row r="86" spans="4:14" x14ac:dyDescent="0.25">
      <c r="D86" s="1" t="s">
        <v>66</v>
      </c>
      <c r="F86" s="50">
        <v>908825</v>
      </c>
      <c r="G86" s="50">
        <v>859067</v>
      </c>
      <c r="H86" s="51">
        <v>965874</v>
      </c>
      <c r="I86" s="9"/>
      <c r="J86"/>
      <c r="K86"/>
      <c r="L86"/>
      <c r="M86"/>
      <c r="N86"/>
    </row>
    <row r="87" spans="4:14" x14ac:dyDescent="0.25">
      <c r="D87" s="20" t="s">
        <v>67</v>
      </c>
      <c r="E87" s="20"/>
      <c r="F87" s="20"/>
      <c r="G87" s="20"/>
      <c r="H87" s="16"/>
      <c r="I87" s="9"/>
      <c r="J87"/>
      <c r="K87"/>
      <c r="L87"/>
      <c r="M87"/>
      <c r="N87"/>
    </row>
    <row r="88" spans="4:14" x14ac:dyDescent="0.25">
      <c r="D88" s="1" t="s">
        <v>68</v>
      </c>
      <c r="F88" s="50">
        <v>3652</v>
      </c>
      <c r="G88" s="50">
        <v>399</v>
      </c>
      <c r="H88" s="51">
        <v>3652</v>
      </c>
      <c r="I88" s="9"/>
      <c r="J88"/>
      <c r="K88"/>
      <c r="L88"/>
      <c r="M88"/>
      <c r="N88"/>
    </row>
    <row r="89" spans="4:14" x14ac:dyDescent="0.25">
      <c r="D89" s="1" t="s">
        <v>69</v>
      </c>
      <c r="F89" s="50">
        <v>-107580</v>
      </c>
      <c r="G89" s="50">
        <v>-121241</v>
      </c>
      <c r="H89" s="51">
        <v>-107580</v>
      </c>
      <c r="I89" s="9"/>
      <c r="J89"/>
      <c r="K89"/>
      <c r="L89"/>
      <c r="M89"/>
      <c r="N89"/>
    </row>
    <row r="90" spans="4:14" x14ac:dyDescent="0.25">
      <c r="D90" s="1" t="s">
        <v>70</v>
      </c>
      <c r="F90" s="77" t="s">
        <v>54</v>
      </c>
      <c r="G90" s="50">
        <v>29670</v>
      </c>
      <c r="H90" s="96" t="s">
        <v>54</v>
      </c>
      <c r="I90" s="9"/>
      <c r="J90"/>
      <c r="K90"/>
      <c r="L90"/>
      <c r="M90"/>
      <c r="N90"/>
    </row>
    <row r="91" spans="4:14" x14ac:dyDescent="0.25">
      <c r="D91" s="1" t="s">
        <v>71</v>
      </c>
      <c r="F91" s="50">
        <v>-220862</v>
      </c>
      <c r="G91" s="50">
        <v>-37951</v>
      </c>
      <c r="H91" s="51">
        <v>-220862</v>
      </c>
      <c r="I91" s="9"/>
      <c r="J91"/>
      <c r="K91"/>
      <c r="L91"/>
      <c r="M91"/>
      <c r="N91"/>
    </row>
    <row r="92" spans="4:14" x14ac:dyDescent="0.25">
      <c r="D92" s="1" t="s">
        <v>72</v>
      </c>
      <c r="F92" s="50">
        <v>10682</v>
      </c>
      <c r="G92" s="50">
        <v>-10272</v>
      </c>
      <c r="H92" s="51">
        <v>10682</v>
      </c>
      <c r="I92" s="9"/>
      <c r="J92"/>
      <c r="K92"/>
      <c r="L92"/>
      <c r="M92"/>
      <c r="N92"/>
    </row>
    <row r="93" spans="4:14" x14ac:dyDescent="0.25">
      <c r="D93" s="1" t="s">
        <v>73</v>
      </c>
      <c r="F93" s="50">
        <v>-314108</v>
      </c>
      <c r="G93" s="50">
        <v>-139395</v>
      </c>
      <c r="H93" s="51">
        <v>-314108</v>
      </c>
      <c r="I93" s="9"/>
      <c r="J93"/>
      <c r="K93"/>
      <c r="L93"/>
      <c r="M93"/>
      <c r="N93"/>
    </row>
    <row r="94" spans="4:14" x14ac:dyDescent="0.25">
      <c r="D94" s="20" t="s">
        <v>74</v>
      </c>
      <c r="E94" s="20"/>
      <c r="F94" s="74"/>
      <c r="G94" s="73"/>
      <c r="H94" s="75"/>
      <c r="I94" s="9"/>
      <c r="J94"/>
      <c r="K94"/>
      <c r="L94"/>
      <c r="M94"/>
      <c r="N94"/>
    </row>
    <row r="95" spans="4:14" x14ac:dyDescent="0.25">
      <c r="D95" s="1" t="s">
        <v>75</v>
      </c>
      <c r="F95" s="76">
        <v>2427519</v>
      </c>
      <c r="G95" s="50">
        <v>2307256</v>
      </c>
      <c r="H95" s="51">
        <v>2427519</v>
      </c>
      <c r="I95" s="9"/>
      <c r="J95"/>
      <c r="K95"/>
      <c r="L95"/>
      <c r="M95"/>
      <c r="N95"/>
    </row>
    <row r="96" spans="4:14" x14ac:dyDescent="0.25">
      <c r="D96" s="1" t="s">
        <v>76</v>
      </c>
      <c r="F96" s="50">
        <v>-2035546</v>
      </c>
      <c r="G96" s="50">
        <v>-1947398</v>
      </c>
      <c r="H96" s="51">
        <v>-2035546</v>
      </c>
      <c r="I96" s="9"/>
      <c r="J96"/>
      <c r="K96"/>
      <c r="L96"/>
      <c r="M96"/>
      <c r="N96"/>
    </row>
    <row r="97" spans="4:14" x14ac:dyDescent="0.25">
      <c r="D97" s="1" t="s">
        <v>77</v>
      </c>
      <c r="F97" s="50">
        <v>20463</v>
      </c>
      <c r="G97" s="50">
        <v>33216</v>
      </c>
      <c r="H97" s="51">
        <v>20463</v>
      </c>
      <c r="I97" s="9"/>
      <c r="J97"/>
      <c r="K97"/>
      <c r="L97"/>
      <c r="M97"/>
      <c r="N97"/>
    </row>
    <row r="98" spans="4:14" x14ac:dyDescent="0.25">
      <c r="D98" s="1" t="s">
        <v>78</v>
      </c>
      <c r="F98" s="50">
        <v>-999998</v>
      </c>
      <c r="G98" s="50">
        <v>-1099998</v>
      </c>
      <c r="H98" s="51">
        <v>-999998</v>
      </c>
      <c r="I98" s="9"/>
      <c r="J98"/>
      <c r="K98"/>
      <c r="L98"/>
      <c r="M98"/>
      <c r="N98"/>
    </row>
    <row r="99" spans="4:14" x14ac:dyDescent="0.25">
      <c r="D99" s="1" t="s">
        <v>79</v>
      </c>
      <c r="F99" s="77" t="s">
        <v>54</v>
      </c>
      <c r="G99" s="50">
        <v>-7912</v>
      </c>
      <c r="H99" s="96" t="s">
        <v>54</v>
      </c>
      <c r="I99" s="9"/>
      <c r="J99"/>
      <c r="K99"/>
      <c r="L99"/>
      <c r="M99"/>
      <c r="N99"/>
    </row>
    <row r="100" spans="4:14" x14ac:dyDescent="0.25">
      <c r="D100" s="1" t="s">
        <v>80</v>
      </c>
      <c r="F100" s="50">
        <v>-2987</v>
      </c>
      <c r="G100" s="50">
        <v>-1203</v>
      </c>
      <c r="H100" s="51">
        <v>-2987</v>
      </c>
      <c r="I100" s="9"/>
      <c r="J100"/>
      <c r="K100"/>
      <c r="L100"/>
      <c r="M100"/>
      <c r="N100"/>
    </row>
    <row r="101" spans="4:14" x14ac:dyDescent="0.25">
      <c r="D101" s="1" t="s">
        <v>81</v>
      </c>
      <c r="F101" s="50">
        <v>-590549</v>
      </c>
      <c r="G101" s="50">
        <v>-716039</v>
      </c>
      <c r="H101" s="51">
        <v>-590549</v>
      </c>
      <c r="I101" s="9"/>
      <c r="J101"/>
      <c r="K101"/>
      <c r="L101"/>
      <c r="M101"/>
      <c r="N101"/>
    </row>
    <row r="102" spans="4:14" x14ac:dyDescent="0.25">
      <c r="D102" s="1" t="s">
        <v>82</v>
      </c>
      <c r="F102" s="50">
        <v>142</v>
      </c>
      <c r="G102" s="50">
        <v>-6231</v>
      </c>
      <c r="H102" s="51">
        <v>142</v>
      </c>
      <c r="I102" s="9"/>
      <c r="J102"/>
      <c r="K102"/>
      <c r="L102"/>
      <c r="M102"/>
      <c r="N102"/>
    </row>
    <row r="103" spans="4:14" x14ac:dyDescent="0.25">
      <c r="D103" s="20" t="s">
        <v>83</v>
      </c>
      <c r="E103" s="22"/>
      <c r="F103" s="73">
        <v>4310</v>
      </c>
      <c r="G103" s="73">
        <v>-2598</v>
      </c>
      <c r="H103" s="75">
        <v>4310</v>
      </c>
      <c r="I103" s="9"/>
      <c r="J103"/>
      <c r="K103"/>
      <c r="L103"/>
      <c r="M103"/>
      <c r="N103"/>
    </row>
    <row r="104" spans="4:14" x14ac:dyDescent="0.25">
      <c r="D104" s="1" t="s">
        <v>84</v>
      </c>
      <c r="F104" s="50"/>
      <c r="G104" s="50"/>
      <c r="H104" s="51"/>
      <c r="I104" s="9"/>
      <c r="J104"/>
      <c r="K104"/>
      <c r="L104"/>
      <c r="M104"/>
      <c r="N104"/>
    </row>
    <row r="105" spans="4:14" x14ac:dyDescent="0.25">
      <c r="D105" s="1" t="s">
        <v>85</v>
      </c>
      <c r="F105" s="76">
        <v>94254</v>
      </c>
      <c r="G105" s="50">
        <v>98564</v>
      </c>
      <c r="H105" s="51">
        <v>94254</v>
      </c>
      <c r="I105" s="9"/>
      <c r="J105"/>
      <c r="K105"/>
      <c r="L105"/>
      <c r="M105"/>
      <c r="N105"/>
    </row>
    <row r="106" spans="4:14" x14ac:dyDescent="0.25">
      <c r="D106" s="20" t="s">
        <v>86</v>
      </c>
      <c r="E106" s="22"/>
      <c r="F106" s="73">
        <v>98564</v>
      </c>
      <c r="G106" s="73">
        <v>95966</v>
      </c>
      <c r="H106" s="75">
        <v>98564</v>
      </c>
      <c r="I106" s="9"/>
      <c r="J106"/>
      <c r="K106"/>
      <c r="L106"/>
      <c r="M106"/>
      <c r="N106"/>
    </row>
    <row r="107" spans="4:14" x14ac:dyDescent="0.25">
      <c r="D107" s="1" t="s">
        <v>87</v>
      </c>
      <c r="F107" s="50"/>
      <c r="G107" s="50"/>
      <c r="H107" s="51"/>
      <c r="I107" s="9"/>
      <c r="J107"/>
      <c r="K107"/>
      <c r="L107"/>
      <c r="M107"/>
      <c r="N107"/>
    </row>
    <row r="108" spans="4:14" x14ac:dyDescent="0.25">
      <c r="D108" s="1" t="s">
        <v>88</v>
      </c>
      <c r="F108" s="50"/>
      <c r="G108" s="50"/>
      <c r="H108" s="51"/>
      <c r="I108" s="9"/>
      <c r="J108"/>
      <c r="K108"/>
      <c r="L108"/>
      <c r="M108"/>
      <c r="N108"/>
    </row>
    <row r="109" spans="4:14" x14ac:dyDescent="0.25">
      <c r="D109" s="25" t="s">
        <v>89</v>
      </c>
      <c r="F109" s="76">
        <v>41338</v>
      </c>
      <c r="G109" s="50">
        <v>52314</v>
      </c>
      <c r="H109" s="51">
        <v>41338</v>
      </c>
      <c r="I109" s="9"/>
      <c r="J109"/>
      <c r="K109"/>
      <c r="L109"/>
      <c r="M109"/>
      <c r="N109"/>
    </row>
    <row r="110" spans="4:14" x14ac:dyDescent="0.25">
      <c r="D110" s="25" t="s">
        <v>90</v>
      </c>
      <c r="F110" s="76">
        <v>152657</v>
      </c>
      <c r="G110" s="50">
        <v>114038</v>
      </c>
      <c r="H110" s="51">
        <v>152657</v>
      </c>
      <c r="I110" s="9"/>
      <c r="J110"/>
      <c r="K110"/>
      <c r="L110"/>
      <c r="M110"/>
      <c r="N110"/>
    </row>
    <row r="111" spans="4:14" x14ac:dyDescent="0.25">
      <c r="F111" s="50"/>
      <c r="G111" s="50"/>
      <c r="H111" s="50"/>
      <c r="I111" s="50"/>
      <c r="J111" s="50"/>
      <c r="K111" s="50"/>
      <c r="L111" s="50"/>
      <c r="M111" s="50"/>
    </row>
    <row r="112" spans="4:14" x14ac:dyDescent="0.25">
      <c r="F112" s="50"/>
      <c r="G112" s="50"/>
      <c r="H112" s="50"/>
      <c r="I112" s="50"/>
      <c r="J112" s="50"/>
      <c r="K112" s="50"/>
      <c r="L112" s="50"/>
      <c r="M112" s="50"/>
    </row>
    <row r="113" spans="6:13" x14ac:dyDescent="0.25">
      <c r="F113" s="50"/>
      <c r="G113" s="50"/>
      <c r="H113" s="50"/>
      <c r="I113" s="50"/>
      <c r="J113" s="50"/>
      <c r="K113" s="50"/>
      <c r="L113" s="50"/>
      <c r="M113" s="50"/>
    </row>
    <row r="114" spans="6:13" x14ac:dyDescent="0.25">
      <c r="F114" s="50"/>
      <c r="G114" s="50"/>
      <c r="H114" s="50"/>
      <c r="I114" s="50"/>
      <c r="J114" s="50"/>
      <c r="K114" s="50"/>
      <c r="L114" s="50"/>
      <c r="M114" s="50"/>
    </row>
    <row r="115" spans="6:13" x14ac:dyDescent="0.25">
      <c r="F115" s="50"/>
      <c r="G115" s="50"/>
      <c r="H115" s="50"/>
      <c r="I115" s="50"/>
      <c r="J115" s="50"/>
      <c r="K115" s="50"/>
      <c r="L115" s="50"/>
      <c r="M115" s="50"/>
    </row>
    <row r="116" spans="6:13" x14ac:dyDescent="0.25">
      <c r="F116" s="50"/>
      <c r="G116" s="50"/>
      <c r="H116" s="50"/>
      <c r="I116" s="50"/>
      <c r="J116" s="50"/>
      <c r="K116" s="50"/>
      <c r="L116" s="50"/>
      <c r="M116" s="50"/>
    </row>
    <row r="117" spans="6:13" x14ac:dyDescent="0.25">
      <c r="F117" s="50"/>
      <c r="G117" s="50"/>
      <c r="H117" s="50"/>
      <c r="I117" s="50"/>
      <c r="J117" s="50"/>
      <c r="K117" s="50"/>
      <c r="L117" s="50"/>
      <c r="M117" s="50"/>
    </row>
    <row r="118" spans="6:13" x14ac:dyDescent="0.25">
      <c r="F118" s="50"/>
      <c r="G118" s="50"/>
      <c r="H118" s="50"/>
      <c r="I118" s="50"/>
      <c r="J118" s="50"/>
      <c r="K118" s="50"/>
      <c r="L118" s="50"/>
      <c r="M118" s="50"/>
    </row>
    <row r="119" spans="6:13" x14ac:dyDescent="0.25">
      <c r="F119" s="50"/>
      <c r="G119" s="50"/>
      <c r="H119" s="50"/>
      <c r="I119" s="50"/>
      <c r="J119" s="50"/>
      <c r="K119" s="50"/>
      <c r="L119" s="50"/>
      <c r="M119" s="50"/>
    </row>
    <row r="120" spans="6:13" x14ac:dyDescent="0.25">
      <c r="F120" s="50"/>
      <c r="G120" s="50"/>
      <c r="H120" s="50"/>
      <c r="I120" s="50"/>
      <c r="J120" s="50"/>
      <c r="K120" s="50"/>
      <c r="L120" s="50"/>
      <c r="M120" s="50"/>
    </row>
    <row r="121" spans="6:13" x14ac:dyDescent="0.25">
      <c r="F121" s="50"/>
      <c r="G121" s="50"/>
      <c r="H121" s="50"/>
      <c r="I121" s="50"/>
      <c r="J121" s="50"/>
      <c r="K121" s="50"/>
      <c r="L121" s="50"/>
      <c r="M121" s="50"/>
    </row>
    <row r="122" spans="6:13" x14ac:dyDescent="0.25">
      <c r="F122" s="50"/>
      <c r="G122" s="50"/>
      <c r="H122" s="50"/>
      <c r="I122" s="50"/>
      <c r="J122" s="50"/>
      <c r="K122" s="50"/>
      <c r="L122" s="50"/>
      <c r="M122" s="50"/>
    </row>
    <row r="123" spans="6:13" x14ac:dyDescent="0.25">
      <c r="F123" s="50"/>
      <c r="G123" s="50"/>
      <c r="H123" s="50"/>
      <c r="I123" s="50"/>
      <c r="J123" s="50"/>
      <c r="K123" s="50"/>
      <c r="L123" s="50"/>
      <c r="M123" s="50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DEAFD-4691-4B8B-ABD2-C81C2E721480}">
  <dimension ref="D3:Z159"/>
  <sheetViews>
    <sheetView showGridLines="0" topLeftCell="A58" workbookViewId="0">
      <selection activeCell="I75" sqref="I75"/>
    </sheetView>
  </sheetViews>
  <sheetFormatPr defaultRowHeight="15" x14ac:dyDescent="0.25"/>
  <cols>
    <col min="1" max="3" width="9.140625" style="1"/>
    <col min="4" max="4" width="82" style="1" customWidth="1"/>
    <col min="5" max="5" width="9.140625" style="1"/>
    <col min="6" max="6" width="9.5703125" style="1" bestFit="1" customWidth="1"/>
    <col min="7" max="8" width="9.28515625" style="1" bestFit="1" customWidth="1"/>
    <col min="9" max="9" width="13.85546875" style="1" bestFit="1" customWidth="1"/>
    <col min="10" max="10" width="11.28515625" style="1" bestFit="1" customWidth="1"/>
    <col min="11" max="13" width="11" style="1" bestFit="1" customWidth="1"/>
    <col min="14" max="14" width="9.85546875" style="1" bestFit="1" customWidth="1"/>
    <col min="15" max="16384" width="9.140625" style="1"/>
  </cols>
  <sheetData>
    <row r="3" spans="4:26" x14ac:dyDescent="0.25">
      <c r="D3" s="56" t="s">
        <v>137</v>
      </c>
    </row>
    <row r="4" spans="4:26" x14ac:dyDescent="0.25">
      <c r="D4" s="52" t="s">
        <v>138</v>
      </c>
    </row>
    <row r="5" spans="4:26" x14ac:dyDescent="0.25">
      <c r="D5" s="56" t="s">
        <v>136</v>
      </c>
      <c r="E5" s="56" t="str">
        <f ca="1">'MTD Master'!F11</f>
        <v>Base</v>
      </c>
      <c r="F5" s="56">
        <f>'MTD Master'!E11</f>
        <v>1</v>
      </c>
    </row>
    <row r="6" spans="4:26" x14ac:dyDescent="0.25">
      <c r="D6" s="17" t="s">
        <v>101</v>
      </c>
      <c r="E6" s="17"/>
      <c r="F6" s="60">
        <v>44561</v>
      </c>
      <c r="G6" s="60">
        <f>EOMONTH(F6,12)</f>
        <v>44926</v>
      </c>
      <c r="H6" s="60">
        <f t="shared" ref="H6" si="0">EOMONTH(G6,12)</f>
        <v>45291</v>
      </c>
      <c r="I6" s="61">
        <f t="shared" ref="I6" si="1">EOMONTH(H6,12)</f>
        <v>45657</v>
      </c>
      <c r="J6" s="61">
        <f t="shared" ref="J6" si="2">EOMONTH(I6,12)</f>
        <v>46022</v>
      </c>
      <c r="K6" s="61">
        <f t="shared" ref="K6" si="3">EOMONTH(J6,12)</f>
        <v>46387</v>
      </c>
      <c r="L6" s="61">
        <f t="shared" ref="L6" si="4">EOMONTH(K6,12)</f>
        <v>46752</v>
      </c>
      <c r="M6" s="61">
        <f t="shared" ref="M6:N6" si="5">EOMONTH(L6,12)</f>
        <v>47118</v>
      </c>
      <c r="N6" s="61">
        <f t="shared" si="5"/>
        <v>47483</v>
      </c>
    </row>
    <row r="7" spans="4:26" x14ac:dyDescent="0.25">
      <c r="D7" s="1" t="s">
        <v>91</v>
      </c>
      <c r="H7" s="7"/>
    </row>
    <row r="8" spans="4:26" x14ac:dyDescent="0.25">
      <c r="D8" s="20" t="s">
        <v>97</v>
      </c>
      <c r="E8" s="20"/>
      <c r="F8" s="20"/>
      <c r="G8" s="20"/>
      <c r="H8" s="16"/>
      <c r="I8" s="20"/>
      <c r="J8" s="20"/>
      <c r="K8" s="20"/>
      <c r="L8" s="20"/>
      <c r="M8" s="20"/>
      <c r="N8" s="20"/>
      <c r="Q8" s="155">
        <f>R8-1</f>
        <v>2021</v>
      </c>
      <c r="R8" s="155">
        <f>S8-1</f>
        <v>2022</v>
      </c>
      <c r="S8" s="155">
        <f>T8-1</f>
        <v>2023</v>
      </c>
      <c r="T8" s="156">
        <v>2024</v>
      </c>
      <c r="U8" s="156">
        <f>T8+1</f>
        <v>2025</v>
      </c>
      <c r="V8" s="156">
        <f t="shared" ref="V8:Y8" si="6">U8+1</f>
        <v>2026</v>
      </c>
      <c r="W8" s="156">
        <f t="shared" si="6"/>
        <v>2027</v>
      </c>
      <c r="X8" s="156">
        <f t="shared" si="6"/>
        <v>2028</v>
      </c>
      <c r="Y8" s="156">
        <f t="shared" si="6"/>
        <v>2029</v>
      </c>
      <c r="Z8" s="154"/>
    </row>
    <row r="9" spans="4:26" x14ac:dyDescent="0.25">
      <c r="D9" s="42" t="s">
        <v>92</v>
      </c>
      <c r="F9" s="33">
        <v>2083025</v>
      </c>
      <c r="G9" s="33">
        <v>2230381</v>
      </c>
      <c r="H9" s="34">
        <v>2068807</v>
      </c>
      <c r="I9" s="33">
        <f>H9*(1+I11)</f>
        <v>2213623.4900000002</v>
      </c>
      <c r="J9" s="33">
        <f>I9*(1+J11)</f>
        <v>2368577.1343000005</v>
      </c>
      <c r="K9" s="33">
        <f t="shared" ref="K9" si="7">J9*(1+K11)</f>
        <v>2581749.0763870007</v>
      </c>
      <c r="L9" s="33">
        <f t="shared" ref="L9" si="8">K9*(1+L11)</f>
        <v>2839923.9840257009</v>
      </c>
      <c r="M9" s="33">
        <f t="shared" ref="M9:N9" si="9">L9*(1+M11)</f>
        <v>3123916.3824282712</v>
      </c>
      <c r="N9" s="33">
        <f t="shared" si="9"/>
        <v>3436308.0206710985</v>
      </c>
      <c r="Q9" s="157">
        <f t="shared" ref="Q9:S9" si="10">F9/F68</f>
        <v>12.269977498439028</v>
      </c>
      <c r="R9" s="157">
        <f t="shared" si="10"/>
        <v>12.592343130723457</v>
      </c>
      <c r="S9" s="157">
        <f t="shared" si="10"/>
        <v>11.16559983592755</v>
      </c>
      <c r="T9" s="157">
        <f t="shared" ref="T9:Y9" ca="1" si="11">I9/I68</f>
        <v>12.916186736753698</v>
      </c>
      <c r="U9" s="157">
        <f t="shared" ca="1" si="11"/>
        <v>12.721476514097709</v>
      </c>
      <c r="V9" s="157">
        <f t="shared" ca="1" si="11"/>
        <v>14.160733010470578</v>
      </c>
      <c r="W9" s="157">
        <f t="shared" ca="1" si="11"/>
        <v>15.191850253247988</v>
      </c>
      <c r="X9" s="157">
        <f t="shared" ca="1" si="11"/>
        <v>15.986057545210079</v>
      </c>
      <c r="Y9" s="157">
        <f t="shared" ca="1" si="11"/>
        <v>16.823645763818156</v>
      </c>
      <c r="Z9" s="154"/>
    </row>
    <row r="10" spans="4:26" x14ac:dyDescent="0.25">
      <c r="D10" s="28" t="s">
        <v>102</v>
      </c>
      <c r="E10" s="29"/>
      <c r="F10" s="30"/>
      <c r="G10" s="31">
        <f>G9/F9-1</f>
        <v>7.0741349719758428E-2</v>
      </c>
      <c r="H10" s="123">
        <f t="shared" ref="H10" si="12">H9/G9-1</f>
        <v>-7.2442331601641152E-2</v>
      </c>
      <c r="I10" s="31">
        <f ca="1">OFFSET(I10,$F$5,)</f>
        <v>7.0000000000000007E-2</v>
      </c>
      <c r="J10" s="31">
        <f t="shared" ref="J10:L10" ca="1" si="13">OFFSET(J10,$F$5,)</f>
        <v>7.0000000000000007E-2</v>
      </c>
      <c r="K10" s="31">
        <f t="shared" ca="1" si="13"/>
        <v>0.09</v>
      </c>
      <c r="L10" s="31">
        <f t="shared" ca="1" si="13"/>
        <v>0.1</v>
      </c>
      <c r="M10" s="31">
        <v>0.12</v>
      </c>
      <c r="N10" s="31">
        <v>0.12</v>
      </c>
      <c r="Q10" s="158"/>
      <c r="R10" s="158"/>
      <c r="S10" s="158"/>
      <c r="T10" s="158"/>
      <c r="U10" s="158"/>
      <c r="V10" s="158"/>
      <c r="W10" s="158"/>
      <c r="X10" s="158"/>
      <c r="Y10" s="158"/>
    </row>
    <row r="11" spans="4:26" x14ac:dyDescent="0.25">
      <c r="D11" s="25" t="s">
        <v>103</v>
      </c>
      <c r="F11" s="26"/>
      <c r="G11" s="26"/>
      <c r="H11" s="37"/>
      <c r="I11" s="36">
        <v>7.0000000000000007E-2</v>
      </c>
      <c r="J11" s="36">
        <v>7.0000000000000007E-2</v>
      </c>
      <c r="K11" s="36">
        <v>0.09</v>
      </c>
      <c r="L11" s="36">
        <v>0.1</v>
      </c>
      <c r="M11" s="36">
        <v>0.1</v>
      </c>
      <c r="N11" s="36">
        <v>0.1</v>
      </c>
    </row>
    <row r="12" spans="4:26" x14ac:dyDescent="0.25">
      <c r="D12" s="25" t="s">
        <v>104</v>
      </c>
      <c r="F12" s="26"/>
      <c r="G12" s="26"/>
      <c r="H12" s="37"/>
      <c r="I12" s="36">
        <f>I11+2%</f>
        <v>9.0000000000000011E-2</v>
      </c>
      <c r="J12" s="36">
        <f t="shared" ref="J12:K12" si="14">J11+2%</f>
        <v>9.0000000000000011E-2</v>
      </c>
      <c r="K12" s="36">
        <f t="shared" si="14"/>
        <v>0.11</v>
      </c>
      <c r="L12" s="36">
        <f t="shared" ref="L12:M12" si="15">L11+2%</f>
        <v>0.12000000000000001</v>
      </c>
      <c r="M12" s="36">
        <f t="shared" si="15"/>
        <v>0.12000000000000001</v>
      </c>
      <c r="N12" s="36">
        <f t="shared" ref="N12" si="16">N11+2%</f>
        <v>0.12000000000000001</v>
      </c>
    </row>
    <row r="13" spans="4:26" x14ac:dyDescent="0.25">
      <c r="D13" s="25" t="s">
        <v>105</v>
      </c>
      <c r="F13" s="26"/>
      <c r="G13" s="26"/>
      <c r="H13" s="37"/>
      <c r="I13" s="36">
        <f>I11-2%</f>
        <v>0.05</v>
      </c>
      <c r="J13" s="36">
        <f t="shared" ref="J13:K13" si="17">J11-2%</f>
        <v>0.05</v>
      </c>
      <c r="K13" s="36">
        <f t="shared" si="17"/>
        <v>6.9999999999999993E-2</v>
      </c>
      <c r="L13" s="36">
        <f t="shared" ref="L13:M13" si="18">L11-2%</f>
        <v>0.08</v>
      </c>
      <c r="M13" s="36">
        <f t="shared" si="18"/>
        <v>0.08</v>
      </c>
      <c r="N13" s="36">
        <f t="shared" ref="N13" si="19">N11-2%</f>
        <v>0.08</v>
      </c>
    </row>
    <row r="14" spans="4:26" x14ac:dyDescent="0.25">
      <c r="D14" s="25"/>
      <c r="F14" s="26"/>
      <c r="G14" s="26"/>
      <c r="H14" s="37"/>
      <c r="I14" s="38"/>
      <c r="J14" s="38"/>
      <c r="K14" s="38"/>
    </row>
    <row r="15" spans="4:26" x14ac:dyDescent="0.25">
      <c r="D15" s="42" t="s">
        <v>93</v>
      </c>
      <c r="F15" s="33">
        <v>1446544</v>
      </c>
      <c r="G15" s="33">
        <v>1510554</v>
      </c>
      <c r="H15" s="34">
        <v>1490445</v>
      </c>
      <c r="I15" s="33">
        <f>H15*(1+I17)</f>
        <v>1564967.25</v>
      </c>
      <c r="J15" s="33">
        <f t="shared" ref="J15:K15" si="20">I15*(1+J17)</f>
        <v>1658865.2850000001</v>
      </c>
      <c r="K15" s="33">
        <f t="shared" si="20"/>
        <v>1758397.2021000003</v>
      </c>
      <c r="L15" s="33">
        <f t="shared" ref="L15" si="21">K15*(1+L17)</f>
        <v>1881485.0062470005</v>
      </c>
      <c r="M15" s="33">
        <f t="shared" ref="M15:N15" si="22">L15*(1+M17)</f>
        <v>2013188.9566842907</v>
      </c>
      <c r="N15" s="33">
        <f t="shared" si="22"/>
        <v>2154112.183652191</v>
      </c>
    </row>
    <row r="16" spans="4:26" x14ac:dyDescent="0.25">
      <c r="D16" s="28" t="s">
        <v>102</v>
      </c>
      <c r="F16" s="2"/>
      <c r="G16" s="35">
        <f>G15/F15-1</f>
        <v>4.4250295877622747E-2</v>
      </c>
      <c r="H16" s="124">
        <f t="shared" ref="H16" si="23">H15/G15-1</f>
        <v>-1.3312334415055638E-2</v>
      </c>
      <c r="I16" s="31">
        <f ca="1">OFFSET(I16,$F$5,)</f>
        <v>0.05</v>
      </c>
      <c r="J16" s="31">
        <f t="shared" ref="J16:L16" ca="1" si="24">OFFSET(J16,$F$5,)</f>
        <v>0.06</v>
      </c>
      <c r="K16" s="31">
        <v>7.0000000000000007E-2</v>
      </c>
      <c r="L16" s="31">
        <f t="shared" ca="1" si="24"/>
        <v>7.0000000000000007E-2</v>
      </c>
      <c r="M16" s="31">
        <v>0.08</v>
      </c>
      <c r="N16" s="31">
        <v>0.08</v>
      </c>
    </row>
    <row r="17" spans="4:14" x14ac:dyDescent="0.25">
      <c r="D17" s="25" t="s">
        <v>103</v>
      </c>
      <c r="F17" s="26"/>
      <c r="G17" s="26"/>
      <c r="H17" s="37"/>
      <c r="I17" s="36">
        <v>0.05</v>
      </c>
      <c r="J17" s="36">
        <v>0.06</v>
      </c>
      <c r="K17" s="36">
        <v>0.06</v>
      </c>
      <c r="L17" s="36">
        <v>7.0000000000000007E-2</v>
      </c>
      <c r="M17" s="36">
        <v>7.0000000000000007E-2</v>
      </c>
      <c r="N17" s="36">
        <v>7.0000000000000007E-2</v>
      </c>
    </row>
    <row r="18" spans="4:14" x14ac:dyDescent="0.25">
      <c r="D18" s="25" t="s">
        <v>104</v>
      </c>
      <c r="F18" s="26"/>
      <c r="G18" s="26"/>
      <c r="H18" s="37"/>
      <c r="I18" s="36">
        <f>I17+2%</f>
        <v>7.0000000000000007E-2</v>
      </c>
      <c r="J18" s="36">
        <f t="shared" ref="J18" si="25">J17+2%</f>
        <v>0.08</v>
      </c>
      <c r="K18" s="36">
        <f t="shared" ref="K18:M18" si="26">K17+2%</f>
        <v>0.08</v>
      </c>
      <c r="L18" s="36">
        <f t="shared" si="26"/>
        <v>9.0000000000000011E-2</v>
      </c>
      <c r="M18" s="36">
        <f t="shared" si="26"/>
        <v>9.0000000000000011E-2</v>
      </c>
      <c r="N18" s="36">
        <f t="shared" ref="N18" si="27">N17+2%</f>
        <v>9.0000000000000011E-2</v>
      </c>
    </row>
    <row r="19" spans="4:14" x14ac:dyDescent="0.25">
      <c r="D19" s="25" t="s">
        <v>105</v>
      </c>
      <c r="F19" s="26"/>
      <c r="G19" s="26"/>
      <c r="H19" s="37"/>
      <c r="I19" s="36">
        <f>I17-2%</f>
        <v>3.0000000000000002E-2</v>
      </c>
      <c r="J19" s="36">
        <f t="shared" ref="J19:K19" si="28">J17-2%</f>
        <v>3.9999999999999994E-2</v>
      </c>
      <c r="K19" s="36">
        <f t="shared" si="28"/>
        <v>3.9999999999999994E-2</v>
      </c>
      <c r="L19" s="36">
        <f t="shared" ref="L19:M19" si="29">L17-2%</f>
        <v>0.05</v>
      </c>
      <c r="M19" s="36">
        <f t="shared" si="29"/>
        <v>0.05</v>
      </c>
      <c r="N19" s="36">
        <f t="shared" ref="N19" si="30">N17-2%</f>
        <v>0.05</v>
      </c>
    </row>
    <row r="20" spans="4:14" x14ac:dyDescent="0.25">
      <c r="D20" s="25"/>
      <c r="F20" s="26"/>
      <c r="G20" s="26"/>
      <c r="H20" s="37"/>
      <c r="I20" s="38"/>
      <c r="J20" s="38"/>
      <c r="K20" s="38"/>
    </row>
    <row r="21" spans="4:14" x14ac:dyDescent="0.25">
      <c r="D21" s="42" t="s">
        <v>94</v>
      </c>
      <c r="F21" s="33">
        <v>188361</v>
      </c>
      <c r="G21" s="33">
        <v>178774</v>
      </c>
      <c r="H21" s="34">
        <v>229057</v>
      </c>
      <c r="I21" s="33">
        <f>H21*(1+I23)</f>
        <v>297774.10000000003</v>
      </c>
      <c r="J21" s="33">
        <f t="shared" ref="J21:K21" si="31">I21*(1+J23)</f>
        <v>372217.62500000006</v>
      </c>
      <c r="K21" s="33">
        <f t="shared" si="31"/>
        <v>446661.15000000008</v>
      </c>
      <c r="L21" s="33">
        <f t="shared" ref="L21" si="32">K21*(1+L23)</f>
        <v>513660.32250000007</v>
      </c>
      <c r="M21" s="33">
        <f t="shared" ref="M21:N21" si="33">L21*(1+M23)</f>
        <v>590709.37087500002</v>
      </c>
      <c r="N21" s="33">
        <f t="shared" si="33"/>
        <v>679315.77650625003</v>
      </c>
    </row>
    <row r="22" spans="4:14" x14ac:dyDescent="0.25">
      <c r="D22" s="28" t="s">
        <v>102</v>
      </c>
      <c r="F22" s="2"/>
      <c r="G22" s="153">
        <f>G21/F21-1</f>
        <v>-5.0896947881992505E-2</v>
      </c>
      <c r="H22" s="32">
        <f t="shared" ref="H22" si="34">H21/G21-1</f>
        <v>0.28126573215344508</v>
      </c>
      <c r="I22" s="31">
        <f ca="1">OFFSET(I22,$F$5,)</f>
        <v>0.3</v>
      </c>
      <c r="J22" s="31">
        <f t="shared" ref="J22:N22" ca="1" si="35">OFFSET(J22,$F$5,)</f>
        <v>0.25</v>
      </c>
      <c r="K22" s="31">
        <f t="shared" ca="1" si="35"/>
        <v>0.2</v>
      </c>
      <c r="L22" s="31">
        <f t="shared" ca="1" si="35"/>
        <v>0.15</v>
      </c>
      <c r="M22" s="31">
        <f t="shared" ca="1" si="35"/>
        <v>0.15</v>
      </c>
      <c r="N22" s="31">
        <f t="shared" ca="1" si="35"/>
        <v>0.15</v>
      </c>
    </row>
    <row r="23" spans="4:14" x14ac:dyDescent="0.25">
      <c r="D23" s="25" t="s">
        <v>103</v>
      </c>
      <c r="F23" s="26"/>
      <c r="G23" s="26"/>
      <c r="H23" s="37"/>
      <c r="I23" s="36">
        <v>0.3</v>
      </c>
      <c r="J23" s="36">
        <v>0.25</v>
      </c>
      <c r="K23" s="36">
        <v>0.2</v>
      </c>
      <c r="L23" s="36">
        <v>0.15</v>
      </c>
      <c r="M23" s="36">
        <v>0.15</v>
      </c>
      <c r="N23" s="36">
        <v>0.15</v>
      </c>
    </row>
    <row r="24" spans="4:14" x14ac:dyDescent="0.25">
      <c r="D24" s="25" t="s">
        <v>104</v>
      </c>
      <c r="F24" s="26"/>
      <c r="G24" s="26"/>
      <c r="H24" s="37"/>
      <c r="I24" s="36">
        <f>I23+2%</f>
        <v>0.32</v>
      </c>
      <c r="J24" s="36">
        <f t="shared" ref="J24" si="36">J23+2%</f>
        <v>0.27</v>
      </c>
      <c r="K24" s="36">
        <f t="shared" ref="K24:M24" si="37">K23+2%</f>
        <v>0.22</v>
      </c>
      <c r="L24" s="36">
        <f t="shared" si="37"/>
        <v>0.16999999999999998</v>
      </c>
      <c r="M24" s="36">
        <f t="shared" si="37"/>
        <v>0.16999999999999998</v>
      </c>
      <c r="N24" s="36">
        <f t="shared" ref="N24" si="38">N23+2%</f>
        <v>0.16999999999999998</v>
      </c>
    </row>
    <row r="25" spans="4:14" x14ac:dyDescent="0.25">
      <c r="D25" s="25" t="s">
        <v>105</v>
      </c>
      <c r="F25" s="26"/>
      <c r="G25" s="26"/>
      <c r="H25" s="37"/>
      <c r="I25" s="36">
        <f>I23-2%</f>
        <v>0.27999999999999997</v>
      </c>
      <c r="J25" s="36">
        <f t="shared" ref="J25:K25" si="39">J23-2%</f>
        <v>0.23</v>
      </c>
      <c r="K25" s="36">
        <f t="shared" si="39"/>
        <v>0.18000000000000002</v>
      </c>
      <c r="L25" s="36">
        <f t="shared" ref="L25:M25" si="40">L23-2%</f>
        <v>0.13</v>
      </c>
      <c r="M25" s="36">
        <f t="shared" si="40"/>
        <v>0.13</v>
      </c>
      <c r="N25" s="36">
        <f t="shared" ref="N25" si="41">N23-2%</f>
        <v>0.13</v>
      </c>
    </row>
    <row r="26" spans="4:14" x14ac:dyDescent="0.25">
      <c r="D26" s="25"/>
      <c r="F26" s="26"/>
      <c r="G26" s="26"/>
      <c r="H26" s="37"/>
      <c r="I26" s="38"/>
      <c r="J26" s="38"/>
      <c r="K26" s="38"/>
    </row>
    <row r="27" spans="4:14" x14ac:dyDescent="0.25">
      <c r="D27" s="42" t="s">
        <v>3</v>
      </c>
      <c r="F27" s="33">
        <v>3717930</v>
      </c>
      <c r="G27" s="33">
        <v>3919709</v>
      </c>
      <c r="H27" s="34">
        <v>3788309</v>
      </c>
      <c r="I27" s="39">
        <f>SUM(I21,I15,I9)</f>
        <v>4076364.8400000003</v>
      </c>
      <c r="J27" s="39">
        <f t="shared" ref="J27:M27" si="42">SUM(J21,J15,J9)</f>
        <v>4399660.0443000011</v>
      </c>
      <c r="K27" s="39">
        <f t="shared" si="42"/>
        <v>4786807.428487001</v>
      </c>
      <c r="L27" s="39">
        <f t="shared" si="42"/>
        <v>5235069.3127727015</v>
      </c>
      <c r="M27" s="39">
        <f t="shared" si="42"/>
        <v>5727814.7099875621</v>
      </c>
      <c r="N27" s="39">
        <f t="shared" ref="N27" si="43">SUM(N21,N15,N9)</f>
        <v>6269735.9808295397</v>
      </c>
    </row>
    <row r="28" spans="4:14" x14ac:dyDescent="0.25">
      <c r="D28" s="20" t="s">
        <v>96</v>
      </c>
      <c r="E28" s="20"/>
      <c r="F28" s="20"/>
      <c r="G28" s="20"/>
      <c r="H28" s="16"/>
      <c r="I28" s="20"/>
      <c r="J28" s="20"/>
      <c r="K28" s="20"/>
      <c r="L28" s="20"/>
      <c r="M28" s="20"/>
      <c r="N28" s="20"/>
    </row>
    <row r="29" spans="4:14" x14ac:dyDescent="0.25">
      <c r="D29" s="42" t="s">
        <v>98</v>
      </c>
      <c r="F29" s="33">
        <v>1419832</v>
      </c>
      <c r="G29" s="33">
        <v>1582493</v>
      </c>
      <c r="H29" s="34">
        <v>1568210</v>
      </c>
      <c r="I29" s="33">
        <f>H29*(1+I31)</f>
        <v>1772077.2999999998</v>
      </c>
      <c r="J29" s="33">
        <f t="shared" ref="J29:K29" si="44">I29*(1+J31)</f>
        <v>1967005.8030000001</v>
      </c>
      <c r="K29" s="33">
        <f t="shared" si="44"/>
        <v>2144036.3252700004</v>
      </c>
      <c r="L29" s="33">
        <f t="shared" ref="L29" si="45">K29*(1+L31)</f>
        <v>2336999.5945443008</v>
      </c>
      <c r="M29" s="33">
        <f t="shared" ref="M29:N29" si="46">L29*(1+M31)</f>
        <v>2500589.5661624018</v>
      </c>
      <c r="N29" s="33">
        <f t="shared" si="46"/>
        <v>2675630.8357937699</v>
      </c>
    </row>
    <row r="30" spans="4:14" x14ac:dyDescent="0.25">
      <c r="D30" s="28" t="s">
        <v>102</v>
      </c>
      <c r="F30" s="2"/>
      <c r="G30" s="31">
        <f>G29/F29-1</f>
        <v>0.11456355399793772</v>
      </c>
      <c r="H30" s="123">
        <f>H29/G29-1</f>
        <v>-9.025632340869727E-3</v>
      </c>
      <c r="I30" s="31">
        <f ca="1">OFFSET(I30,$F$5,)</f>
        <v>0.13</v>
      </c>
      <c r="J30" s="31">
        <f t="shared" ref="J30:N30" ca="1" si="47">OFFSET(J30,$F$5,)</f>
        <v>0.11</v>
      </c>
      <c r="K30" s="31">
        <f t="shared" ca="1" si="47"/>
        <v>0.09</v>
      </c>
      <c r="L30" s="31">
        <f t="shared" ca="1" si="47"/>
        <v>0.09</v>
      </c>
      <c r="M30" s="31">
        <f t="shared" ca="1" si="47"/>
        <v>7.0000000000000007E-2</v>
      </c>
      <c r="N30" s="31">
        <f t="shared" ca="1" si="47"/>
        <v>7.0000000000000007E-2</v>
      </c>
    </row>
    <row r="31" spans="4:14" x14ac:dyDescent="0.25">
      <c r="D31" s="25" t="s">
        <v>103</v>
      </c>
      <c r="F31" s="26"/>
      <c r="G31" s="26"/>
      <c r="H31" s="37"/>
      <c r="I31" s="36">
        <v>0.13</v>
      </c>
      <c r="J31" s="36">
        <v>0.11</v>
      </c>
      <c r="K31" s="36">
        <v>0.09</v>
      </c>
      <c r="L31" s="36">
        <v>0.09</v>
      </c>
      <c r="M31" s="36">
        <v>7.0000000000000007E-2</v>
      </c>
      <c r="N31" s="36">
        <v>7.0000000000000007E-2</v>
      </c>
    </row>
    <row r="32" spans="4:14" x14ac:dyDescent="0.25">
      <c r="D32" s="25" t="s">
        <v>104</v>
      </c>
      <c r="F32" s="26"/>
      <c r="G32" s="26"/>
      <c r="H32" s="37"/>
      <c r="I32" s="36">
        <f>I31+2%</f>
        <v>0.15</v>
      </c>
      <c r="J32" s="36">
        <f t="shared" ref="J32" si="48">J31+2%</f>
        <v>0.13</v>
      </c>
      <c r="K32" s="36">
        <f t="shared" ref="K32:M32" si="49">K31+2%</f>
        <v>0.11</v>
      </c>
      <c r="L32" s="36">
        <f t="shared" si="49"/>
        <v>0.11</v>
      </c>
      <c r="M32" s="36">
        <f t="shared" si="49"/>
        <v>9.0000000000000011E-2</v>
      </c>
      <c r="N32" s="36">
        <f t="shared" ref="N32" si="50">N31+2%</f>
        <v>9.0000000000000011E-2</v>
      </c>
    </row>
    <row r="33" spans="4:14" x14ac:dyDescent="0.25">
      <c r="D33" s="25" t="s">
        <v>105</v>
      </c>
      <c r="F33" s="26"/>
      <c r="G33" s="26"/>
      <c r="H33" s="37"/>
      <c r="I33" s="36">
        <f>I31-2%</f>
        <v>0.11</v>
      </c>
      <c r="J33" s="36">
        <f t="shared" ref="J33:K33" si="51">J31-2%</f>
        <v>0.09</v>
      </c>
      <c r="K33" s="36">
        <f t="shared" si="51"/>
        <v>6.9999999999999993E-2</v>
      </c>
      <c r="L33" s="36">
        <f t="shared" ref="L33:M33" si="52">L31-2%</f>
        <v>6.9999999999999993E-2</v>
      </c>
      <c r="M33" s="36">
        <f t="shared" si="52"/>
        <v>0.05</v>
      </c>
      <c r="N33" s="36">
        <f t="shared" ref="N33" si="53">N31-2%</f>
        <v>0.05</v>
      </c>
    </row>
    <row r="34" spans="4:14" x14ac:dyDescent="0.25">
      <c r="D34" s="25"/>
      <c r="F34" s="26"/>
      <c r="G34" s="26"/>
      <c r="H34" s="37"/>
      <c r="I34" s="38"/>
      <c r="J34" s="38"/>
      <c r="K34" s="38"/>
    </row>
    <row r="35" spans="4:14" x14ac:dyDescent="0.25">
      <c r="D35" s="42" t="s">
        <v>99</v>
      </c>
      <c r="F35" s="33">
        <v>1062961</v>
      </c>
      <c r="G35" s="33">
        <v>1014360</v>
      </c>
      <c r="H35" s="34">
        <v>1015498</v>
      </c>
      <c r="I35" s="33">
        <f>H35*(1+I37)</f>
        <v>1035807.96</v>
      </c>
      <c r="J35" s="33">
        <f t="shared" ref="J35:K35" si="54">I35*(1+J37)</f>
        <v>1056524.1192000001</v>
      </c>
      <c r="K35" s="33">
        <f t="shared" si="54"/>
        <v>1077654.601584</v>
      </c>
      <c r="L35" s="33">
        <f t="shared" ref="L35" si="55">K35*(1+L37)</f>
        <v>1099207.6936156801</v>
      </c>
      <c r="M35" s="33">
        <f t="shared" ref="M35:N35" si="56">L35*(1+M37)</f>
        <v>1121191.8474879938</v>
      </c>
      <c r="N35" s="33">
        <f t="shared" si="56"/>
        <v>1143615.6844377536</v>
      </c>
    </row>
    <row r="36" spans="4:14" x14ac:dyDescent="0.25">
      <c r="D36" s="28" t="s">
        <v>102</v>
      </c>
      <c r="F36" s="2"/>
      <c r="G36" s="125">
        <f>G35/F35-1</f>
        <v>-4.5722279556822842E-2</v>
      </c>
      <c r="H36" s="32">
        <f>H35/G35-1</f>
        <v>1.1218896644189513E-3</v>
      </c>
      <c r="I36" s="31">
        <f ca="1">OFFSET(I36,$F$5,)</f>
        <v>0.02</v>
      </c>
      <c r="J36" s="31">
        <f t="shared" ref="J36:N36" ca="1" si="57">OFFSET(J36,$F$5,)</f>
        <v>0.02</v>
      </c>
      <c r="K36" s="31">
        <f t="shared" ca="1" si="57"/>
        <v>0.02</v>
      </c>
      <c r="L36" s="31">
        <f t="shared" ca="1" si="57"/>
        <v>0.02</v>
      </c>
      <c r="M36" s="31">
        <f t="shared" ca="1" si="57"/>
        <v>0.02</v>
      </c>
      <c r="N36" s="31">
        <f t="shared" ca="1" si="57"/>
        <v>0.02</v>
      </c>
    </row>
    <row r="37" spans="4:14" x14ac:dyDescent="0.25">
      <c r="D37" s="25" t="s">
        <v>103</v>
      </c>
      <c r="F37" s="26"/>
      <c r="G37" s="26"/>
      <c r="H37" s="37"/>
      <c r="I37" s="36">
        <v>0.02</v>
      </c>
      <c r="J37" s="36">
        <v>0.02</v>
      </c>
      <c r="K37" s="36">
        <v>0.02</v>
      </c>
      <c r="L37" s="36">
        <v>0.02</v>
      </c>
      <c r="M37" s="36">
        <v>0.02</v>
      </c>
      <c r="N37" s="36">
        <v>0.02</v>
      </c>
    </row>
    <row r="38" spans="4:14" x14ac:dyDescent="0.25">
      <c r="D38" s="25" t="s">
        <v>104</v>
      </c>
      <c r="F38" s="26"/>
      <c r="G38" s="26"/>
      <c r="H38" s="37"/>
      <c r="I38" s="36">
        <f>I37+2%</f>
        <v>0.04</v>
      </c>
      <c r="J38" s="36">
        <f t="shared" ref="J38" si="58">J37+2%</f>
        <v>0.04</v>
      </c>
      <c r="K38" s="36">
        <f t="shared" ref="K38:M38" si="59">K37+2%</f>
        <v>0.04</v>
      </c>
      <c r="L38" s="36">
        <f t="shared" si="59"/>
        <v>0.04</v>
      </c>
      <c r="M38" s="36">
        <f t="shared" si="59"/>
        <v>0.04</v>
      </c>
      <c r="N38" s="36">
        <f t="shared" ref="N38" si="60">N37+2%</f>
        <v>0.04</v>
      </c>
    </row>
    <row r="39" spans="4:14" x14ac:dyDescent="0.25">
      <c r="D39" s="25" t="s">
        <v>105</v>
      </c>
      <c r="F39" s="26"/>
      <c r="G39" s="26"/>
      <c r="H39" s="37"/>
      <c r="I39" s="36">
        <f>I37-2%</f>
        <v>0</v>
      </c>
      <c r="J39" s="36">
        <f t="shared" ref="J39:K39" si="61">J37-2%</f>
        <v>0</v>
      </c>
      <c r="K39" s="36">
        <f t="shared" si="61"/>
        <v>0</v>
      </c>
      <c r="L39" s="36">
        <f t="shared" ref="L39:M39" si="62">L37-2%</f>
        <v>0</v>
      </c>
      <c r="M39" s="36">
        <f t="shared" si="62"/>
        <v>0</v>
      </c>
      <c r="N39" s="36">
        <f t="shared" ref="N39" si="63">N37-2%</f>
        <v>0</v>
      </c>
    </row>
    <row r="40" spans="4:14" x14ac:dyDescent="0.25">
      <c r="D40" s="25"/>
      <c r="F40" s="26"/>
      <c r="G40" s="26"/>
      <c r="H40" s="37"/>
      <c r="I40" s="38"/>
      <c r="J40" s="38"/>
      <c r="K40" s="38"/>
    </row>
    <row r="41" spans="4:14" x14ac:dyDescent="0.25">
      <c r="D41" s="42" t="s">
        <v>100</v>
      </c>
      <c r="F41" s="33">
        <v>1235137</v>
      </c>
      <c r="G41" s="33">
        <v>1322856</v>
      </c>
      <c r="H41" s="34">
        <v>1204601</v>
      </c>
      <c r="I41" s="33">
        <f>H41*(1+I43)</f>
        <v>1276877.06</v>
      </c>
      <c r="J41" s="33">
        <f t="shared" ref="J41:K41" si="64">I41*(1+J43)</f>
        <v>1442871.0777999999</v>
      </c>
      <c r="K41" s="33">
        <f t="shared" si="64"/>
        <v>1587158.18558</v>
      </c>
      <c r="L41" s="33">
        <f t="shared" ref="L41" si="65">K41*(1+L43)</f>
        <v>1714130.8404264001</v>
      </c>
      <c r="M41" s="33">
        <f t="shared" ref="M41:N41" si="66">L41*(1+M43)</f>
        <v>1816978.6908519841</v>
      </c>
      <c r="N41" s="33">
        <f t="shared" si="66"/>
        <v>1925997.4123031031</v>
      </c>
    </row>
    <row r="42" spans="4:14" x14ac:dyDescent="0.25">
      <c r="D42" s="28" t="s">
        <v>102</v>
      </c>
      <c r="F42" s="2"/>
      <c r="G42" s="31">
        <f>G41/F41-1</f>
        <v>7.1019652070984929E-2</v>
      </c>
      <c r="H42" s="123">
        <f t="shared" ref="H42" si="67">H41/G41-1</f>
        <v>-8.9393705739702622E-2</v>
      </c>
      <c r="I42" s="31">
        <f ca="1">OFFSET(I42,$F$5,)</f>
        <v>0.06</v>
      </c>
      <c r="J42" s="31">
        <f t="shared" ref="J42:N42" ca="1" si="68">OFFSET(J42,$F$5,)</f>
        <v>0.13</v>
      </c>
      <c r="K42" s="31">
        <f t="shared" ca="1" si="68"/>
        <v>0.1</v>
      </c>
      <c r="L42" s="31">
        <f t="shared" ca="1" si="68"/>
        <v>0.08</v>
      </c>
      <c r="M42" s="31">
        <f t="shared" ca="1" si="68"/>
        <v>0.06</v>
      </c>
      <c r="N42" s="31">
        <f t="shared" ca="1" si="68"/>
        <v>0.06</v>
      </c>
    </row>
    <row r="43" spans="4:14" x14ac:dyDescent="0.25">
      <c r="D43" s="25" t="s">
        <v>103</v>
      </c>
      <c r="F43" s="26"/>
      <c r="G43" s="26"/>
      <c r="H43" s="37"/>
      <c r="I43" s="36">
        <v>0.06</v>
      </c>
      <c r="J43" s="36">
        <v>0.13</v>
      </c>
      <c r="K43" s="36">
        <v>0.1</v>
      </c>
      <c r="L43" s="36">
        <v>0.08</v>
      </c>
      <c r="M43" s="36">
        <v>0.06</v>
      </c>
      <c r="N43" s="36">
        <v>0.06</v>
      </c>
    </row>
    <row r="44" spans="4:14" x14ac:dyDescent="0.25">
      <c r="D44" s="25" t="s">
        <v>104</v>
      </c>
      <c r="F44" s="26"/>
      <c r="G44" s="26"/>
      <c r="H44" s="37"/>
      <c r="I44" s="36">
        <f>I43+2%</f>
        <v>0.08</v>
      </c>
      <c r="J44" s="36">
        <f t="shared" ref="J44" si="69">J43+2%</f>
        <v>0.15</v>
      </c>
      <c r="K44" s="36">
        <f t="shared" ref="K44:M44" si="70">K43+2%</f>
        <v>0.12000000000000001</v>
      </c>
      <c r="L44" s="36">
        <f t="shared" si="70"/>
        <v>0.1</v>
      </c>
      <c r="M44" s="36">
        <f t="shared" si="70"/>
        <v>0.08</v>
      </c>
      <c r="N44" s="36">
        <f t="shared" ref="N44" si="71">N43+2%</f>
        <v>0.08</v>
      </c>
    </row>
    <row r="45" spans="4:14" x14ac:dyDescent="0.25">
      <c r="D45" s="25" t="s">
        <v>105</v>
      </c>
      <c r="F45" s="26"/>
      <c r="G45" s="26"/>
      <c r="H45" s="37"/>
      <c r="I45" s="36">
        <f>I43-2%</f>
        <v>3.9999999999999994E-2</v>
      </c>
      <c r="J45" s="36">
        <f t="shared" ref="J45:K45" si="72">J43-2%</f>
        <v>0.11</v>
      </c>
      <c r="K45" s="36">
        <f t="shared" si="72"/>
        <v>0.08</v>
      </c>
      <c r="L45" s="36">
        <f t="shared" ref="L45:M45" si="73">L43-2%</f>
        <v>0.06</v>
      </c>
      <c r="M45" s="36">
        <f t="shared" si="73"/>
        <v>3.9999999999999994E-2</v>
      </c>
      <c r="N45" s="36">
        <f t="shared" ref="N45" si="74">N43-2%</f>
        <v>3.9999999999999994E-2</v>
      </c>
    </row>
    <row r="46" spans="4:14" x14ac:dyDescent="0.25">
      <c r="D46" s="25"/>
      <c r="F46" s="26"/>
      <c r="G46" s="26"/>
      <c r="H46" s="37"/>
      <c r="I46" s="38"/>
      <c r="J46" s="38"/>
      <c r="K46" s="38"/>
    </row>
    <row r="47" spans="4:14" x14ac:dyDescent="0.25">
      <c r="D47" s="42" t="s">
        <v>3</v>
      </c>
      <c r="F47" s="33">
        <v>3717930</v>
      </c>
      <c r="G47" s="33">
        <v>3919709</v>
      </c>
      <c r="H47" s="34">
        <v>3788309</v>
      </c>
      <c r="I47" s="39">
        <f>SUM(I41,I35,I29)</f>
        <v>4084762.32</v>
      </c>
      <c r="J47" s="39">
        <f t="shared" ref="J47:M47" si="75">SUM(J41,J35,J29)</f>
        <v>4466401</v>
      </c>
      <c r="K47" s="39">
        <f t="shared" si="75"/>
        <v>4808849.1124339998</v>
      </c>
      <c r="L47" s="39">
        <f t="shared" si="75"/>
        <v>5150338.1285863807</v>
      </c>
      <c r="M47" s="39">
        <f t="shared" si="75"/>
        <v>5438760.1045023799</v>
      </c>
      <c r="N47" s="39">
        <f t="shared" ref="N47" si="76">SUM(N41,N35,N29)</f>
        <v>5745243.9325346267</v>
      </c>
    </row>
    <row r="48" spans="4:14" x14ac:dyDescent="0.25">
      <c r="I48" s="40"/>
    </row>
    <row r="49" spans="4:14" x14ac:dyDescent="0.25">
      <c r="D49" s="20" t="s">
        <v>95</v>
      </c>
      <c r="E49" s="20"/>
      <c r="F49" s="20"/>
      <c r="G49" s="20"/>
      <c r="H49" s="20"/>
      <c r="I49" s="41">
        <f t="shared" ref="I49:N49" si="77">0.5*I47+I27*0.5</f>
        <v>4080563.58</v>
      </c>
      <c r="J49" s="21">
        <f t="shared" si="77"/>
        <v>4433030.5221500006</v>
      </c>
      <c r="K49" s="21">
        <f t="shared" si="77"/>
        <v>4797828.2704605004</v>
      </c>
      <c r="L49" s="21">
        <f t="shared" si="77"/>
        <v>5192703.7206795411</v>
      </c>
      <c r="M49" s="21">
        <f t="shared" si="77"/>
        <v>5583287.407244971</v>
      </c>
      <c r="N49" s="21">
        <f t="shared" si="77"/>
        <v>6007489.9566820832</v>
      </c>
    </row>
    <row r="50" spans="4:14" x14ac:dyDescent="0.25">
      <c r="D50" s="28" t="s">
        <v>102</v>
      </c>
      <c r="F50" s="2"/>
      <c r="G50" s="31">
        <f>G47/F47-1</f>
        <v>5.4271866334223651E-2</v>
      </c>
      <c r="H50" s="123">
        <f t="shared" ref="H50" si="78">H47/G47-1</f>
        <v>-3.3522896725241558E-2</v>
      </c>
      <c r="I50" s="31">
        <f>I47/H47-1</f>
        <v>7.8254788614128268E-2</v>
      </c>
      <c r="J50" s="31">
        <f>J49/I49-1</f>
        <v>8.6377024947617675E-2</v>
      </c>
      <c r="K50" s="31">
        <f t="shared" ref="K50:N50" si="79">K49/J49-1</f>
        <v>8.2290827118775223E-2</v>
      </c>
      <c r="L50" s="31">
        <f t="shared" si="79"/>
        <v>8.2302956245897452E-2</v>
      </c>
      <c r="M50" s="31">
        <f t="shared" si="79"/>
        <v>7.5217787799053637E-2</v>
      </c>
      <c r="N50" s="31">
        <f t="shared" si="79"/>
        <v>7.5977200974225223E-2</v>
      </c>
    </row>
    <row r="53" spans="4:14" x14ac:dyDescent="0.25">
      <c r="D53" s="17" t="s">
        <v>106</v>
      </c>
      <c r="E53" s="17"/>
      <c r="F53" s="60">
        <v>44561</v>
      </c>
      <c r="G53" s="60">
        <f>EOMONTH(F53,12)</f>
        <v>44926</v>
      </c>
      <c r="H53" s="60">
        <f t="shared" ref="H53" si="80">EOMONTH(G53,12)</f>
        <v>45291</v>
      </c>
      <c r="I53" s="61">
        <f t="shared" ref="I53" si="81">EOMONTH(H53,12)</f>
        <v>45657</v>
      </c>
      <c r="J53" s="61">
        <f t="shared" ref="J53" si="82">EOMONTH(I53,12)</f>
        <v>46022</v>
      </c>
      <c r="K53" s="61">
        <f t="shared" ref="K53" si="83">EOMONTH(J53,12)</f>
        <v>46387</v>
      </c>
      <c r="L53" s="61">
        <f t="shared" ref="L53" si="84">EOMONTH(K53,12)</f>
        <v>46752</v>
      </c>
      <c r="M53" s="61">
        <f t="shared" ref="M53:N53" si="85">EOMONTH(L53,12)</f>
        <v>47118</v>
      </c>
      <c r="N53" s="61">
        <f t="shared" si="85"/>
        <v>47483</v>
      </c>
    </row>
    <row r="54" spans="4:14" x14ac:dyDescent="0.25">
      <c r="D54" s="22" t="s">
        <v>107</v>
      </c>
      <c r="E54" s="22"/>
      <c r="F54" s="22"/>
      <c r="G54" s="22"/>
      <c r="H54" s="13"/>
      <c r="I54" s="22"/>
      <c r="J54" s="22"/>
      <c r="K54" s="22"/>
      <c r="L54" s="22"/>
      <c r="M54" s="22"/>
      <c r="N54" s="22"/>
    </row>
    <row r="55" spans="4:14" x14ac:dyDescent="0.25">
      <c r="D55" s="42" t="s">
        <v>1</v>
      </c>
      <c r="F55" s="33">
        <f>'MTD Historicals'!F10</f>
        <v>1181020</v>
      </c>
      <c r="G55" s="33">
        <f>'MTD Historicals'!G10</f>
        <v>1227230</v>
      </c>
      <c r="H55" s="33">
        <f>'MTD Historicals'!H10</f>
        <v>1144167</v>
      </c>
      <c r="I55" s="43">
        <f ca="1">I49*I56</f>
        <v>1142557.8024000002</v>
      </c>
      <c r="J55" s="33">
        <f t="shared" ref="J55:K55" ca="1" si="86">J49*J56</f>
        <v>1152587.9357590002</v>
      </c>
      <c r="K55" s="33">
        <f t="shared" ca="1" si="86"/>
        <v>1151478.7849105201</v>
      </c>
      <c r="L55" s="33">
        <f t="shared" ref="L55:M55" ca="1" si="87">L49*L56</f>
        <v>1246248.8929630897</v>
      </c>
      <c r="M55" s="33">
        <f t="shared" si="87"/>
        <v>1284156.1036663435</v>
      </c>
      <c r="N55" s="33">
        <f t="shared" ref="N55" si="88">N49*N56</f>
        <v>1381722.6900368792</v>
      </c>
    </row>
    <row r="56" spans="4:14" x14ac:dyDescent="0.25">
      <c r="D56" s="28" t="s">
        <v>128</v>
      </c>
      <c r="F56" s="31">
        <f>F55/F47</f>
        <v>0.31765525440231529</v>
      </c>
      <c r="G56" s="31">
        <f t="shared" ref="G56:H56" si="89">G55/G47</f>
        <v>0.31309211984869284</v>
      </c>
      <c r="H56" s="31">
        <f t="shared" si="89"/>
        <v>0.30202578511942929</v>
      </c>
      <c r="I56" s="44">
        <f ca="1">OFFSET(I56,$F$5,)</f>
        <v>0.28000000000000003</v>
      </c>
      <c r="J56" s="31">
        <f t="shared" ref="J56:L56" ca="1" si="90">OFFSET(J56,$F$5,)</f>
        <v>0.26</v>
      </c>
      <c r="K56" s="31">
        <f t="shared" ca="1" si="90"/>
        <v>0.24</v>
      </c>
      <c r="L56" s="31">
        <f t="shared" ca="1" si="90"/>
        <v>0.24</v>
      </c>
      <c r="M56" s="31">
        <v>0.23</v>
      </c>
      <c r="N56" s="31">
        <v>0.23</v>
      </c>
    </row>
    <row r="57" spans="4:14" x14ac:dyDescent="0.25">
      <c r="D57" s="25" t="s">
        <v>103</v>
      </c>
      <c r="F57" s="26"/>
      <c r="G57" s="26"/>
      <c r="H57" s="37"/>
      <c r="I57" s="36">
        <v>0.28000000000000003</v>
      </c>
      <c r="J57" s="36">
        <v>0.26</v>
      </c>
      <c r="K57" s="36">
        <v>0.24</v>
      </c>
      <c r="L57" s="36">
        <v>0.24</v>
      </c>
      <c r="M57" s="36">
        <v>0.24</v>
      </c>
      <c r="N57" s="36">
        <v>0.24</v>
      </c>
    </row>
    <row r="58" spans="4:14" x14ac:dyDescent="0.25">
      <c r="D58" s="25" t="s">
        <v>104</v>
      </c>
      <c r="F58" s="26"/>
      <c r="G58" s="26"/>
      <c r="H58" s="37"/>
      <c r="I58" s="36">
        <f>I57-2%</f>
        <v>0.26</v>
      </c>
      <c r="J58" s="36">
        <f t="shared" ref="J58:N58" si="91">J57-2%</f>
        <v>0.24000000000000002</v>
      </c>
      <c r="K58" s="36">
        <f t="shared" si="91"/>
        <v>0.22</v>
      </c>
      <c r="L58" s="36">
        <f t="shared" si="91"/>
        <v>0.22</v>
      </c>
      <c r="M58" s="36">
        <f t="shared" si="91"/>
        <v>0.22</v>
      </c>
      <c r="N58" s="36">
        <f t="shared" si="91"/>
        <v>0.22</v>
      </c>
    </row>
    <row r="59" spans="4:14" x14ac:dyDescent="0.25">
      <c r="D59" s="25" t="s">
        <v>105</v>
      </c>
      <c r="F59" s="26"/>
      <c r="G59" s="26"/>
      <c r="H59" s="37"/>
      <c r="I59" s="36">
        <f>I57+2%</f>
        <v>0.30000000000000004</v>
      </c>
      <c r="J59" s="36">
        <f t="shared" ref="J59:N59" si="92">J57+2%</f>
        <v>0.28000000000000003</v>
      </c>
      <c r="K59" s="36">
        <f t="shared" si="92"/>
        <v>0.26</v>
      </c>
      <c r="L59" s="36">
        <f t="shared" si="92"/>
        <v>0.26</v>
      </c>
      <c r="M59" s="36">
        <f t="shared" si="92"/>
        <v>0.26</v>
      </c>
      <c r="N59" s="36">
        <f t="shared" si="92"/>
        <v>0.26</v>
      </c>
    </row>
    <row r="60" spans="4:14" x14ac:dyDescent="0.25">
      <c r="D60" s="25"/>
      <c r="F60" s="26"/>
      <c r="G60" s="26"/>
      <c r="H60" s="37"/>
      <c r="I60" s="38"/>
      <c r="J60" s="38"/>
      <c r="K60" s="38"/>
      <c r="L60" s="38"/>
      <c r="M60" s="38"/>
      <c r="N60" s="38"/>
    </row>
    <row r="61" spans="4:14" x14ac:dyDescent="0.25">
      <c r="D61" s="42" t="s">
        <v>129</v>
      </c>
      <c r="F61" s="47">
        <v>365357</v>
      </c>
      <c r="G61" s="47">
        <v>384437</v>
      </c>
      <c r="H61" s="34">
        <v>402856</v>
      </c>
      <c r="I61" s="43">
        <f ca="1">I62*I49</f>
        <v>387653.54009999998</v>
      </c>
      <c r="J61" s="47">
        <f t="shared" ref="J61:K61" ca="1" si="93">J62*J49</f>
        <v>310312.13655050006</v>
      </c>
      <c r="K61" s="47">
        <f t="shared" ca="1" si="93"/>
        <v>335847.97893223504</v>
      </c>
      <c r="L61" s="47">
        <f t="shared" ref="L61:M61" ca="1" si="94">L62*L49</f>
        <v>363489.26044756791</v>
      </c>
      <c r="M61" s="47">
        <f t="shared" ca="1" si="94"/>
        <v>390830.118507148</v>
      </c>
      <c r="N61" s="47">
        <f t="shared" ref="N61" ca="1" si="95">N62*N49</f>
        <v>420524.29696774588</v>
      </c>
    </row>
    <row r="62" spans="4:14" x14ac:dyDescent="0.25">
      <c r="D62" s="28" t="s">
        <v>128</v>
      </c>
      <c r="F62" s="31">
        <f>F61/F47</f>
        <v>9.8268929215988468E-2</v>
      </c>
      <c r="G62" s="31">
        <f t="shared" ref="G62:H62" si="96">G61/G47</f>
        <v>9.8077944051458921E-2</v>
      </c>
      <c r="H62" s="31">
        <f t="shared" si="96"/>
        <v>0.10634190611167146</v>
      </c>
      <c r="I62" s="44">
        <f ca="1">OFFSET(I62,$F$5,)</f>
        <v>9.5000000000000001E-2</v>
      </c>
      <c r="J62" s="31">
        <f t="shared" ref="J62:N62" ca="1" si="97">OFFSET(J62,$F$5,)</f>
        <v>7.0000000000000007E-2</v>
      </c>
      <c r="K62" s="31">
        <f t="shared" ca="1" si="97"/>
        <v>7.0000000000000007E-2</v>
      </c>
      <c r="L62" s="31">
        <f t="shared" ca="1" si="97"/>
        <v>7.0000000000000007E-2</v>
      </c>
      <c r="M62" s="31">
        <f t="shared" ca="1" si="97"/>
        <v>7.0000000000000007E-2</v>
      </c>
      <c r="N62" s="31">
        <f t="shared" ca="1" si="97"/>
        <v>7.0000000000000007E-2</v>
      </c>
    </row>
    <row r="63" spans="4:14" x14ac:dyDescent="0.25">
      <c r="D63" s="25" t="s">
        <v>103</v>
      </c>
      <c r="F63" s="26"/>
      <c r="G63" s="26"/>
      <c r="H63" s="37"/>
      <c r="I63" s="36">
        <v>9.5000000000000001E-2</v>
      </c>
      <c r="J63" s="36">
        <v>7.0000000000000007E-2</v>
      </c>
      <c r="K63" s="36">
        <v>7.0000000000000007E-2</v>
      </c>
      <c r="L63" s="36">
        <v>7.0000000000000007E-2</v>
      </c>
      <c r="M63" s="36">
        <v>7.0000000000000007E-2</v>
      </c>
      <c r="N63" s="36">
        <v>7.0000000000000007E-2</v>
      </c>
    </row>
    <row r="64" spans="4:14" x14ac:dyDescent="0.25">
      <c r="D64" s="25" t="s">
        <v>104</v>
      </c>
      <c r="F64" s="26"/>
      <c r="G64" s="26"/>
      <c r="H64" s="37"/>
      <c r="I64" s="36">
        <f>I63-2%</f>
        <v>7.4999999999999997E-2</v>
      </c>
      <c r="J64" s="36">
        <f t="shared" ref="J64:N64" si="98">J63-2%</f>
        <v>0.05</v>
      </c>
      <c r="K64" s="36">
        <f t="shared" si="98"/>
        <v>0.05</v>
      </c>
      <c r="L64" s="36">
        <f t="shared" si="98"/>
        <v>0.05</v>
      </c>
      <c r="M64" s="36">
        <f t="shared" si="98"/>
        <v>0.05</v>
      </c>
      <c r="N64" s="36">
        <f t="shared" si="98"/>
        <v>0.05</v>
      </c>
    </row>
    <row r="65" spans="4:14" x14ac:dyDescent="0.25">
      <c r="D65" s="25" t="s">
        <v>105</v>
      </c>
      <c r="F65" s="26"/>
      <c r="G65" s="26"/>
      <c r="H65" s="37"/>
      <c r="I65" s="36">
        <f>I63+2%</f>
        <v>0.115</v>
      </c>
      <c r="J65" s="36">
        <f t="shared" ref="J65:N65" si="99">J63+2%</f>
        <v>9.0000000000000011E-2</v>
      </c>
      <c r="K65" s="36">
        <f t="shared" si="99"/>
        <v>9.0000000000000011E-2</v>
      </c>
      <c r="L65" s="36">
        <f t="shared" si="99"/>
        <v>9.0000000000000011E-2</v>
      </c>
      <c r="M65" s="36">
        <f t="shared" si="99"/>
        <v>9.0000000000000011E-2</v>
      </c>
      <c r="N65" s="36">
        <f t="shared" si="99"/>
        <v>9.0000000000000011E-2</v>
      </c>
    </row>
    <row r="66" spans="4:14" x14ac:dyDescent="0.25">
      <c r="D66" s="25"/>
      <c r="F66" s="26"/>
      <c r="G66" s="26"/>
      <c r="H66" s="37"/>
      <c r="I66" s="38"/>
      <c r="J66" s="38"/>
      <c r="K66" s="38"/>
      <c r="L66" s="38"/>
      <c r="M66" s="38"/>
      <c r="N66" s="38"/>
    </row>
    <row r="67" spans="4:14" x14ac:dyDescent="0.25">
      <c r="D67" s="22" t="s">
        <v>130</v>
      </c>
      <c r="E67" s="22"/>
      <c r="F67" s="22"/>
      <c r="G67" s="22"/>
      <c r="H67" s="13"/>
      <c r="I67" s="22"/>
      <c r="J67" s="22"/>
      <c r="K67" s="22"/>
      <c r="L67" s="22"/>
      <c r="M67" s="22"/>
      <c r="N67" s="22"/>
    </row>
    <row r="68" spans="4:14" x14ac:dyDescent="0.25">
      <c r="D68" s="1" t="s">
        <v>109</v>
      </c>
      <c r="F68" s="33">
        <f>'MTD Historicals'!F13</f>
        <v>169766</v>
      </c>
      <c r="G68" s="33">
        <f>'MTD Historicals'!G13</f>
        <v>177122</v>
      </c>
      <c r="H68" s="33">
        <f>'MTD Historicals'!H13</f>
        <v>185284</v>
      </c>
      <c r="I68" s="43">
        <f ca="1">I69*I49</f>
        <v>171383.67036000002</v>
      </c>
      <c r="J68" s="47">
        <f ca="1">J69*J49</f>
        <v>186187.28193030003</v>
      </c>
      <c r="K68" s="47">
        <f t="shared" ref="K68:M68" ca="1" si="100">K69*K49</f>
        <v>182317.47427749902</v>
      </c>
      <c r="L68" s="47">
        <f t="shared" ca="1" si="100"/>
        <v>186937.33394446346</v>
      </c>
      <c r="M68" s="47">
        <f t="shared" ca="1" si="100"/>
        <v>195415.059253574</v>
      </c>
      <c r="N68" s="47">
        <f t="shared" ref="N68" ca="1" si="101">N69*N49</f>
        <v>204254.65852719086</v>
      </c>
    </row>
    <row r="69" spans="4:14" x14ac:dyDescent="0.25">
      <c r="D69" s="28" t="s">
        <v>108</v>
      </c>
      <c r="F69" s="31">
        <f>F68/F47</f>
        <v>4.5661429881681474E-2</v>
      </c>
      <c r="G69" s="31">
        <f t="shared" ref="G69:H69" si="102">G68/G47</f>
        <v>4.5187538156531516E-2</v>
      </c>
      <c r="H69" s="31">
        <f t="shared" si="102"/>
        <v>4.8909421063593278E-2</v>
      </c>
      <c r="I69" s="44">
        <f ca="1">OFFSET(I69,$F$5,)</f>
        <v>4.2000000000000003E-2</v>
      </c>
      <c r="J69" s="46">
        <f t="shared" ref="J69:N69" ca="1" si="103">OFFSET(J69,$F$5,)</f>
        <v>4.2000000000000003E-2</v>
      </c>
      <c r="K69" s="46">
        <f t="shared" ca="1" si="103"/>
        <v>3.7999999999999999E-2</v>
      </c>
      <c r="L69" s="46">
        <f t="shared" ca="1" si="103"/>
        <v>3.5999999999999997E-2</v>
      </c>
      <c r="M69" s="46">
        <f t="shared" ca="1" si="103"/>
        <v>3.5000000000000003E-2</v>
      </c>
      <c r="N69" s="46">
        <f t="shared" ca="1" si="103"/>
        <v>3.4000000000000002E-2</v>
      </c>
    </row>
    <row r="70" spans="4:14" x14ac:dyDescent="0.25">
      <c r="D70" s="25" t="s">
        <v>103</v>
      </c>
      <c r="F70" s="26"/>
      <c r="G70" s="26"/>
      <c r="H70" s="37"/>
      <c r="I70" s="36">
        <v>4.2000000000000003E-2</v>
      </c>
      <c r="J70" s="36">
        <v>4.2000000000000003E-2</v>
      </c>
      <c r="K70" s="36">
        <v>3.7999999999999999E-2</v>
      </c>
      <c r="L70" s="36">
        <v>3.5999999999999997E-2</v>
      </c>
      <c r="M70" s="36">
        <v>3.5000000000000003E-2</v>
      </c>
      <c r="N70" s="36">
        <v>3.4000000000000002E-2</v>
      </c>
    </row>
    <row r="71" spans="4:14" x14ac:dyDescent="0.25">
      <c r="D71" s="25" t="s">
        <v>104</v>
      </c>
      <c r="F71" s="26"/>
      <c r="G71" s="26"/>
      <c r="H71" s="37"/>
      <c r="I71" s="36">
        <f>I70-1%</f>
        <v>3.2000000000000001E-2</v>
      </c>
      <c r="J71" s="36">
        <f t="shared" ref="J71:N71" si="104">J70-1%</f>
        <v>3.2000000000000001E-2</v>
      </c>
      <c r="K71" s="36">
        <f t="shared" si="104"/>
        <v>2.7999999999999997E-2</v>
      </c>
      <c r="L71" s="36">
        <f t="shared" si="104"/>
        <v>2.5999999999999995E-2</v>
      </c>
      <c r="M71" s="36">
        <f t="shared" si="104"/>
        <v>2.5000000000000001E-2</v>
      </c>
      <c r="N71" s="36">
        <f t="shared" si="104"/>
        <v>2.4E-2</v>
      </c>
    </row>
    <row r="72" spans="4:14" x14ac:dyDescent="0.25">
      <c r="D72" s="25" t="s">
        <v>105</v>
      </c>
      <c r="F72" s="26"/>
      <c r="G72" s="26"/>
      <c r="H72" s="37"/>
      <c r="I72" s="36">
        <f>I70+2%</f>
        <v>6.2E-2</v>
      </c>
      <c r="J72" s="36">
        <f t="shared" ref="J72:N72" si="105">J70+2%</f>
        <v>6.2E-2</v>
      </c>
      <c r="K72" s="36">
        <f t="shared" si="105"/>
        <v>5.7999999999999996E-2</v>
      </c>
      <c r="L72" s="36">
        <f t="shared" si="105"/>
        <v>5.5999999999999994E-2</v>
      </c>
      <c r="M72" s="36">
        <f t="shared" si="105"/>
        <v>5.5000000000000007E-2</v>
      </c>
      <c r="N72" s="36">
        <f t="shared" si="105"/>
        <v>5.4000000000000006E-2</v>
      </c>
    </row>
    <row r="73" spans="4:14" x14ac:dyDescent="0.25">
      <c r="H73" s="7"/>
    </row>
    <row r="74" spans="4:14" x14ac:dyDescent="0.25">
      <c r="D74" s="1" t="s">
        <v>110</v>
      </c>
      <c r="F74" s="33">
        <f>'MTD Historicals'!F14</f>
        <v>943976</v>
      </c>
      <c r="G74" s="33">
        <f>'MTD Historicals'!G14</f>
        <v>938461</v>
      </c>
      <c r="H74" s="33">
        <f>'MTD Historicals'!H14</f>
        <v>904106</v>
      </c>
      <c r="I74" s="43">
        <f ca="1">I75*I49</f>
        <v>926287.93266000005</v>
      </c>
      <c r="J74" s="47">
        <f t="shared" ref="J74:M74" ca="1" si="106">J75*J49</f>
        <v>886606.10443000018</v>
      </c>
      <c r="K74" s="47">
        <f t="shared" ca="1" si="106"/>
        <v>959565.6540921001</v>
      </c>
      <c r="L74" s="47">
        <f t="shared" ca="1" si="106"/>
        <v>986613.70692911278</v>
      </c>
      <c r="M74" s="47">
        <f t="shared" ca="1" si="106"/>
        <v>1060824.6073765445</v>
      </c>
      <c r="N74" s="47">
        <f t="shared" ref="N74" ca="1" si="107">N75*N49</f>
        <v>1141423.0917695959</v>
      </c>
    </row>
    <row r="75" spans="4:14" x14ac:dyDescent="0.25">
      <c r="D75" s="28" t="s">
        <v>108</v>
      </c>
      <c r="F75" s="31">
        <f>F74/F47</f>
        <v>0.25389827134991783</v>
      </c>
      <c r="G75" s="31">
        <f t="shared" ref="G75:H75" si="108">G74/G47</f>
        <v>0.23942108967783068</v>
      </c>
      <c r="H75" s="31">
        <f t="shared" si="108"/>
        <v>0.23865687830638949</v>
      </c>
      <c r="I75" s="44">
        <f ca="1">OFFSET(I75,$F$5,)</f>
        <v>0.22700000000000001</v>
      </c>
      <c r="J75" s="46">
        <f t="shared" ref="J75:N75" ca="1" si="109">OFFSET(J75,$F$5,)</f>
        <v>0.2</v>
      </c>
      <c r="K75" s="46">
        <f t="shared" ca="1" si="109"/>
        <v>0.2</v>
      </c>
      <c r="L75" s="46">
        <f t="shared" ca="1" si="109"/>
        <v>0.19</v>
      </c>
      <c r="M75" s="46">
        <f t="shared" ca="1" si="109"/>
        <v>0.19</v>
      </c>
      <c r="N75" s="46">
        <f t="shared" ca="1" si="109"/>
        <v>0.19</v>
      </c>
    </row>
    <row r="76" spans="4:14" x14ac:dyDescent="0.25">
      <c r="D76" s="25" t="s">
        <v>103</v>
      </c>
      <c r="F76" s="26"/>
      <c r="G76" s="26"/>
      <c r="H76" s="37"/>
      <c r="I76" s="36">
        <v>0.22700000000000001</v>
      </c>
      <c r="J76" s="36">
        <v>0.2</v>
      </c>
      <c r="K76" s="36">
        <v>0.2</v>
      </c>
      <c r="L76" s="36">
        <v>0.19</v>
      </c>
      <c r="M76" s="36">
        <v>0.19</v>
      </c>
      <c r="N76" s="36">
        <v>0.19</v>
      </c>
    </row>
    <row r="77" spans="4:14" x14ac:dyDescent="0.25">
      <c r="D77" s="25" t="s">
        <v>104</v>
      </c>
      <c r="F77" s="26"/>
      <c r="G77" s="26"/>
      <c r="H77" s="37"/>
      <c r="I77" s="36">
        <f>I76-2%</f>
        <v>0.20700000000000002</v>
      </c>
      <c r="J77" s="36">
        <f t="shared" ref="J77:N77" si="110">J76-2%</f>
        <v>0.18000000000000002</v>
      </c>
      <c r="K77" s="36">
        <f t="shared" si="110"/>
        <v>0.18000000000000002</v>
      </c>
      <c r="L77" s="36">
        <f t="shared" si="110"/>
        <v>0.17</v>
      </c>
      <c r="M77" s="36">
        <f t="shared" si="110"/>
        <v>0.17</v>
      </c>
      <c r="N77" s="36">
        <f t="shared" si="110"/>
        <v>0.17</v>
      </c>
    </row>
    <row r="78" spans="4:14" x14ac:dyDescent="0.25">
      <c r="D78" s="25" t="s">
        <v>105</v>
      </c>
      <c r="F78" s="26"/>
      <c r="G78" s="26"/>
      <c r="H78" s="37"/>
      <c r="I78" s="36">
        <f>I76+2%</f>
        <v>0.247</v>
      </c>
      <c r="J78" s="36">
        <f t="shared" ref="J78:N78" si="111">J76+2%</f>
        <v>0.22</v>
      </c>
      <c r="K78" s="36">
        <f t="shared" si="111"/>
        <v>0.22</v>
      </c>
      <c r="L78" s="36">
        <f t="shared" si="111"/>
        <v>0.21</v>
      </c>
      <c r="M78" s="36">
        <f t="shared" si="111"/>
        <v>0.21</v>
      </c>
      <c r="N78" s="36">
        <f t="shared" si="111"/>
        <v>0.21</v>
      </c>
    </row>
    <row r="79" spans="4:14" x14ac:dyDescent="0.25">
      <c r="H79" s="7"/>
    </row>
    <row r="80" spans="4:14" x14ac:dyDescent="0.25">
      <c r="D80" s="1" t="s">
        <v>111</v>
      </c>
      <c r="F80" s="33">
        <f>'MTD Historicals'!F17</f>
        <v>5239</v>
      </c>
      <c r="G80" s="33">
        <f>'MTD Historicals'!G17</f>
        <v>9556</v>
      </c>
      <c r="H80" s="33">
        <f>'MTD Historicals'!H17</f>
        <v>32735</v>
      </c>
      <c r="I80" s="43">
        <f ca="1">I81*I49</f>
        <v>0</v>
      </c>
      <c r="J80" s="47">
        <f ca="1">J81*J61</f>
        <v>0</v>
      </c>
      <c r="K80" s="47">
        <f t="shared" ref="K80:M80" ca="1" si="112">K81*K61</f>
        <v>0</v>
      </c>
      <c r="L80" s="47">
        <f t="shared" ca="1" si="112"/>
        <v>0</v>
      </c>
      <c r="M80" s="47">
        <f t="shared" ca="1" si="112"/>
        <v>0</v>
      </c>
      <c r="N80" s="47">
        <f t="shared" ref="N80" ca="1" si="113">N81*N61</f>
        <v>0</v>
      </c>
    </row>
    <row r="81" spans="4:14" x14ac:dyDescent="0.25">
      <c r="D81" s="28" t="s">
        <v>108</v>
      </c>
      <c r="F81" s="31">
        <f>F80/F47</f>
        <v>1.4091174390050377E-3</v>
      </c>
      <c r="G81" s="31">
        <f t="shared" ref="G81:H81" si="114">G80/G47</f>
        <v>2.4379360814795179E-3</v>
      </c>
      <c r="H81" s="31">
        <f t="shared" si="114"/>
        <v>8.6410585831303618E-3</v>
      </c>
      <c r="I81" s="44">
        <f ca="1">OFFSET(I81,$F$5,)</f>
        <v>0</v>
      </c>
      <c r="J81" s="46">
        <f t="shared" ref="J81:N81" ca="1" si="115">OFFSET(J81,$F$5,)</f>
        <v>0</v>
      </c>
      <c r="K81" s="46">
        <f t="shared" ca="1" si="115"/>
        <v>0</v>
      </c>
      <c r="L81" s="46">
        <f t="shared" ca="1" si="115"/>
        <v>0</v>
      </c>
      <c r="M81" s="46">
        <f t="shared" ca="1" si="115"/>
        <v>0</v>
      </c>
      <c r="N81" s="46">
        <f t="shared" ca="1" si="115"/>
        <v>0</v>
      </c>
    </row>
    <row r="82" spans="4:14" x14ac:dyDescent="0.25">
      <c r="D82" s="25" t="s">
        <v>103</v>
      </c>
      <c r="F82" s="26"/>
      <c r="G82" s="26"/>
      <c r="H82" s="37"/>
      <c r="I82" s="36"/>
      <c r="J82" s="36"/>
      <c r="K82" s="36"/>
      <c r="L82" s="36"/>
      <c r="M82" s="36"/>
      <c r="N82" s="36"/>
    </row>
    <row r="83" spans="4:14" x14ac:dyDescent="0.25">
      <c r="D83" s="25" t="s">
        <v>104</v>
      </c>
      <c r="F83" s="26"/>
      <c r="G83" s="26"/>
      <c r="H83" s="37"/>
      <c r="I83" s="36"/>
      <c r="J83" s="36"/>
      <c r="K83" s="36"/>
      <c r="L83" s="36"/>
      <c r="M83" s="36"/>
      <c r="N83" s="36"/>
    </row>
    <row r="84" spans="4:14" x14ac:dyDescent="0.25">
      <c r="D84" s="25" t="s">
        <v>105</v>
      </c>
      <c r="F84" s="26"/>
      <c r="G84" s="26"/>
      <c r="H84" s="37"/>
      <c r="I84" s="145"/>
      <c r="J84" s="36"/>
      <c r="K84" s="36"/>
      <c r="L84" s="36"/>
      <c r="M84" s="36"/>
      <c r="N84" s="36"/>
    </row>
    <row r="85" spans="4:14" x14ac:dyDescent="0.25">
      <c r="D85" s="25"/>
      <c r="F85" s="26"/>
      <c r="G85" s="26"/>
      <c r="H85" s="37"/>
      <c r="I85" s="38"/>
      <c r="J85" s="38"/>
      <c r="K85" s="38"/>
      <c r="L85" s="38"/>
      <c r="M85" s="38"/>
      <c r="N85" s="38"/>
    </row>
    <row r="86" spans="4:14" x14ac:dyDescent="0.25">
      <c r="D86" s="1" t="s">
        <v>8</v>
      </c>
      <c r="F86" s="33">
        <f>'MTD Historicals'!F15</f>
        <v>63075</v>
      </c>
      <c r="G86" s="33">
        <f>'MTD Historicals'!G15</f>
        <v>66239</v>
      </c>
      <c r="H86" s="34">
        <f>'MTD Historicals'!H15</f>
        <v>72213</v>
      </c>
      <c r="I86" s="33">
        <f ca="1">I87*I49</f>
        <v>71613.890828999996</v>
      </c>
      <c r="J86" s="33">
        <f t="shared" ref="J86:M86" ca="1" si="116">J87*J49</f>
        <v>75361.518876550021</v>
      </c>
      <c r="K86" s="33">
        <f t="shared" ca="1" si="116"/>
        <v>81563.080597828506</v>
      </c>
      <c r="L86" s="33">
        <f t="shared" ca="1" si="116"/>
        <v>83083.25953087266</v>
      </c>
      <c r="M86" s="33">
        <f t="shared" ca="1" si="116"/>
        <v>83749.311108674563</v>
      </c>
      <c r="N86" s="33">
        <f t="shared" ref="N86" ca="1" si="117">N87*N49</f>
        <v>84104.859393549166</v>
      </c>
    </row>
    <row r="87" spans="4:14" x14ac:dyDescent="0.25">
      <c r="D87" s="28" t="s">
        <v>128</v>
      </c>
      <c r="F87" s="31">
        <f>F86/F47</f>
        <v>1.6965085410429997E-2</v>
      </c>
      <c r="G87" s="31">
        <f t="shared" ref="G87:H87" si="118">G86/G47</f>
        <v>1.6898958570648995E-2</v>
      </c>
      <c r="H87" s="31">
        <f t="shared" si="118"/>
        <v>1.906206700667765E-2</v>
      </c>
      <c r="I87" s="44">
        <f ca="1">OFFSET(I87,$F$5,)</f>
        <v>1.755E-2</v>
      </c>
      <c r="J87" s="46">
        <f t="shared" ref="J87:N87" ca="1" si="119">OFFSET(J87,$F$5,)</f>
        <v>1.7000000000000001E-2</v>
      </c>
      <c r="K87" s="46">
        <f t="shared" ca="1" si="119"/>
        <v>1.7000000000000001E-2</v>
      </c>
      <c r="L87" s="46">
        <f t="shared" ca="1" si="119"/>
        <v>1.6E-2</v>
      </c>
      <c r="M87" s="46">
        <f t="shared" ca="1" si="119"/>
        <v>1.4999999999999999E-2</v>
      </c>
      <c r="N87" s="46">
        <f t="shared" ca="1" si="119"/>
        <v>1.4E-2</v>
      </c>
    </row>
    <row r="88" spans="4:14" x14ac:dyDescent="0.25">
      <c r="D88" s="25" t="s">
        <v>103</v>
      </c>
      <c r="H88" s="7"/>
      <c r="I88" s="36">
        <v>1.755E-2</v>
      </c>
      <c r="J88" s="36">
        <v>1.7000000000000001E-2</v>
      </c>
      <c r="K88" s="36">
        <v>1.7000000000000001E-2</v>
      </c>
      <c r="L88" s="36">
        <v>1.6E-2</v>
      </c>
      <c r="M88" s="36">
        <v>1.4999999999999999E-2</v>
      </c>
      <c r="N88" s="36">
        <v>1.4E-2</v>
      </c>
    </row>
    <row r="89" spans="4:14" x14ac:dyDescent="0.25">
      <c r="D89" s="25" t="s">
        <v>104</v>
      </c>
      <c r="H89" s="7"/>
      <c r="I89" s="36">
        <f>I88-0.5%</f>
        <v>1.2549999999999999E-2</v>
      </c>
      <c r="J89" s="36">
        <f t="shared" ref="J89:N89" si="120">J88-0.5%</f>
        <v>1.2E-2</v>
      </c>
      <c r="K89" s="36">
        <f t="shared" si="120"/>
        <v>1.2E-2</v>
      </c>
      <c r="L89" s="36">
        <f t="shared" si="120"/>
        <v>1.0999999999999999E-2</v>
      </c>
      <c r="M89" s="36">
        <f t="shared" si="120"/>
        <v>9.9999999999999985E-3</v>
      </c>
      <c r="N89" s="36">
        <f t="shared" si="120"/>
        <v>9.0000000000000011E-3</v>
      </c>
    </row>
    <row r="90" spans="4:14" x14ac:dyDescent="0.25">
      <c r="D90" s="25" t="s">
        <v>105</v>
      </c>
      <c r="H90" s="7"/>
      <c r="I90" s="145">
        <f>I88+0.5%</f>
        <v>2.2550000000000001E-2</v>
      </c>
      <c r="J90" s="145">
        <f t="shared" ref="J90:N90" si="121">J88+0.5%</f>
        <v>2.2000000000000002E-2</v>
      </c>
      <c r="K90" s="145">
        <f t="shared" si="121"/>
        <v>2.2000000000000002E-2</v>
      </c>
      <c r="L90" s="145">
        <f t="shared" si="121"/>
        <v>2.1000000000000001E-2</v>
      </c>
      <c r="M90" s="145">
        <f t="shared" si="121"/>
        <v>0.02</v>
      </c>
      <c r="N90" s="145">
        <f t="shared" si="121"/>
        <v>1.9E-2</v>
      </c>
    </row>
    <row r="91" spans="4:14" x14ac:dyDescent="0.25">
      <c r="D91" s="25"/>
      <c r="H91" s="8"/>
      <c r="I91" s="62"/>
      <c r="J91" s="38"/>
      <c r="K91" s="38"/>
      <c r="L91" s="38"/>
      <c r="M91" s="38"/>
      <c r="N91" s="38"/>
    </row>
    <row r="92" spans="4:14" x14ac:dyDescent="0.25">
      <c r="D92" s="17" t="s">
        <v>112</v>
      </c>
      <c r="E92" s="17"/>
      <c r="F92" s="60">
        <v>44561</v>
      </c>
      <c r="G92" s="60">
        <f>EOMONTH(F92,12)</f>
        <v>44926</v>
      </c>
      <c r="H92" s="60">
        <f t="shared" ref="H92" si="122">EOMONTH(G92,12)</f>
        <v>45291</v>
      </c>
      <c r="I92" s="61">
        <f t="shared" ref="I92" si="123">EOMONTH(H92,12)</f>
        <v>45657</v>
      </c>
      <c r="J92" s="61">
        <f t="shared" ref="J92" si="124">EOMONTH(I92,12)</f>
        <v>46022</v>
      </c>
      <c r="K92" s="61">
        <f t="shared" ref="K92" si="125">EOMONTH(J92,12)</f>
        <v>46387</v>
      </c>
      <c r="L92" s="61">
        <f t="shared" ref="L92" si="126">EOMONTH(K92,12)</f>
        <v>46752</v>
      </c>
      <c r="M92" s="61">
        <f t="shared" ref="M92:N92" si="127">EOMONTH(L92,12)</f>
        <v>47118</v>
      </c>
      <c r="N92" s="61">
        <f t="shared" si="127"/>
        <v>47483</v>
      </c>
    </row>
    <row r="93" spans="4:14" x14ac:dyDescent="0.25">
      <c r="D93" s="1" t="s">
        <v>113</v>
      </c>
      <c r="F93" s="48">
        <f>-'MTD Historicals'!F89</f>
        <v>107580</v>
      </c>
      <c r="G93" s="48">
        <f>-'MTD Historicals'!G89</f>
        <v>121241</v>
      </c>
      <c r="H93" s="49">
        <f>-'MTD Historicals'!H89</f>
        <v>107580</v>
      </c>
      <c r="I93" s="33">
        <f t="shared" ref="I93:N93" ca="1" si="128">I94*I49</f>
        <v>114255.78024000001</v>
      </c>
      <c r="J93" s="33">
        <f t="shared" ca="1" si="128"/>
        <v>110825.76305375002</v>
      </c>
      <c r="K93" s="33">
        <f t="shared" ca="1" si="128"/>
        <v>119945.70676151251</v>
      </c>
      <c r="L93" s="33">
        <f t="shared" ca="1" si="128"/>
        <v>135010.29673766808</v>
      </c>
      <c r="M93" s="33">
        <f t="shared" ca="1" si="128"/>
        <v>136790.5414775018</v>
      </c>
      <c r="N93" s="33">
        <f t="shared" ca="1" si="128"/>
        <v>132164.77904700581</v>
      </c>
    </row>
    <row r="94" spans="4:14" x14ac:dyDescent="0.25">
      <c r="D94" s="28" t="s">
        <v>108</v>
      </c>
      <c r="F94" s="31">
        <f>F93/F47</f>
        <v>2.8935456019882032E-2</v>
      </c>
      <c r="G94" s="31">
        <f>G93/G47</f>
        <v>3.0931122693036651E-2</v>
      </c>
      <c r="H94" s="32">
        <f>H93/H47</f>
        <v>2.8397894680713742E-2</v>
      </c>
      <c r="I94" s="44">
        <f ca="1">OFFSET(I94,$F$5,)</f>
        <v>2.8000000000000001E-2</v>
      </c>
      <c r="J94" s="46">
        <f t="shared" ref="J94:N94" ca="1" si="129">OFFSET(J94,$F$5,)</f>
        <v>2.5000000000000001E-2</v>
      </c>
      <c r="K94" s="46">
        <f t="shared" ca="1" si="129"/>
        <v>2.5000000000000001E-2</v>
      </c>
      <c r="L94" s="46">
        <f t="shared" ca="1" si="129"/>
        <v>2.5999999999999999E-2</v>
      </c>
      <c r="M94" s="46">
        <f t="shared" ca="1" si="129"/>
        <v>2.4500000000000001E-2</v>
      </c>
      <c r="N94" s="46">
        <f t="shared" ca="1" si="129"/>
        <v>2.1999999999999999E-2</v>
      </c>
    </row>
    <row r="95" spans="4:14" x14ac:dyDescent="0.25">
      <c r="D95" s="25" t="s">
        <v>103</v>
      </c>
      <c r="H95" s="7"/>
      <c r="I95" s="36">
        <v>2.8000000000000001E-2</v>
      </c>
      <c r="J95" s="36">
        <v>2.5000000000000001E-2</v>
      </c>
      <c r="K95" s="36">
        <v>2.5000000000000001E-2</v>
      </c>
      <c r="L95" s="36">
        <v>2.5999999999999999E-2</v>
      </c>
      <c r="M95" s="36">
        <v>2.4500000000000001E-2</v>
      </c>
      <c r="N95" s="36">
        <v>2.1999999999999999E-2</v>
      </c>
    </row>
    <row r="96" spans="4:14" x14ac:dyDescent="0.25">
      <c r="D96" s="25" t="s">
        <v>104</v>
      </c>
      <c r="H96" s="7"/>
      <c r="I96" s="36">
        <f>I95+2%</f>
        <v>4.8000000000000001E-2</v>
      </c>
      <c r="J96" s="36">
        <f t="shared" ref="J96" si="130">J95+2%</f>
        <v>4.4999999999999998E-2</v>
      </c>
      <c r="K96" s="36">
        <f t="shared" ref="K96:M96" si="131">K95+2%</f>
        <v>4.4999999999999998E-2</v>
      </c>
      <c r="L96" s="36">
        <f t="shared" si="131"/>
        <v>4.5999999999999999E-2</v>
      </c>
      <c r="M96" s="36">
        <f t="shared" si="131"/>
        <v>4.4499999999999998E-2</v>
      </c>
      <c r="N96" s="36">
        <f t="shared" ref="N96" si="132">N95+2%</f>
        <v>4.1999999999999996E-2</v>
      </c>
    </row>
    <row r="97" spans="4:14" x14ac:dyDescent="0.25">
      <c r="D97" s="25" t="s">
        <v>105</v>
      </c>
      <c r="H97" s="7"/>
      <c r="I97" s="36">
        <f>I95-2%</f>
        <v>8.0000000000000002E-3</v>
      </c>
      <c r="J97" s="36">
        <f t="shared" ref="J97:K97" si="133">J95-2%</f>
        <v>5.000000000000001E-3</v>
      </c>
      <c r="K97" s="36">
        <f t="shared" si="133"/>
        <v>5.000000000000001E-3</v>
      </c>
      <c r="L97" s="36">
        <f t="shared" ref="L97:M97" si="134">L95-2%</f>
        <v>5.9999999999999984E-3</v>
      </c>
      <c r="M97" s="36">
        <f t="shared" si="134"/>
        <v>4.5000000000000005E-3</v>
      </c>
      <c r="N97" s="36">
        <f t="shared" ref="N97" si="135">N95-2%</f>
        <v>1.9999999999999983E-3</v>
      </c>
    </row>
    <row r="98" spans="4:14" x14ac:dyDescent="0.25">
      <c r="H98" s="7"/>
    </row>
    <row r="99" spans="4:14" x14ac:dyDescent="0.25">
      <c r="D99" s="1" t="s">
        <v>57</v>
      </c>
      <c r="F99" s="33">
        <f>'MTD Historicals'!F73</f>
        <v>44982</v>
      </c>
      <c r="G99" s="33">
        <f>'MTD Historicals'!G73</f>
        <v>46784</v>
      </c>
      <c r="H99" s="34">
        <f>'MTD Historicals'!H73</f>
        <v>48951</v>
      </c>
      <c r="I99" s="33">
        <f ca="1">I100*I93</f>
        <v>42274.638688800005</v>
      </c>
      <c r="J99" s="33">
        <f t="shared" ref="J99:K99" ca="1" si="136">J100*J93</f>
        <v>43222.047590962509</v>
      </c>
      <c r="K99" s="33">
        <f t="shared" ca="1" si="136"/>
        <v>44379.911501759627</v>
      </c>
      <c r="L99" s="33">
        <f t="shared" ref="L99:M99" ca="1" si="137">L100*L93</f>
        <v>49953.809792937187</v>
      </c>
      <c r="M99" s="33">
        <f t="shared" ca="1" si="137"/>
        <v>50612.500346675668</v>
      </c>
      <c r="N99" s="33">
        <f t="shared" ref="N99" ca="1" si="138">N100*N93</f>
        <v>48900.968247392149</v>
      </c>
    </row>
    <row r="100" spans="4:14" x14ac:dyDescent="0.25">
      <c r="D100" s="28" t="s">
        <v>114</v>
      </c>
      <c r="F100" s="31">
        <f>F99/F93</f>
        <v>0.41812604573340767</v>
      </c>
      <c r="G100" s="31">
        <f t="shared" ref="G100:H100" si="139">G99/G93</f>
        <v>0.38587606502750721</v>
      </c>
      <c r="H100" s="32">
        <f t="shared" si="139"/>
        <v>0.45501952035694365</v>
      </c>
      <c r="I100" s="44">
        <f ca="1">OFFSET(I100,$F$5,)</f>
        <v>0.37</v>
      </c>
      <c r="J100" s="46">
        <f t="shared" ref="J100:N100" ca="1" si="140">OFFSET(J100,$F$5,)</f>
        <v>0.39</v>
      </c>
      <c r="K100" s="46">
        <f t="shared" ca="1" si="140"/>
        <v>0.37</v>
      </c>
      <c r="L100" s="46">
        <f t="shared" ca="1" si="140"/>
        <v>0.37</v>
      </c>
      <c r="M100" s="46">
        <f t="shared" ca="1" si="140"/>
        <v>0.37</v>
      </c>
      <c r="N100" s="46">
        <f t="shared" ca="1" si="140"/>
        <v>0.37</v>
      </c>
    </row>
    <row r="101" spans="4:14" x14ac:dyDescent="0.25">
      <c r="D101" s="25" t="s">
        <v>103</v>
      </c>
      <c r="H101" s="7"/>
      <c r="I101" s="36">
        <v>0.37</v>
      </c>
      <c r="J101" s="36">
        <v>0.39</v>
      </c>
      <c r="K101" s="36">
        <v>0.37</v>
      </c>
      <c r="L101" s="36">
        <v>0.37</v>
      </c>
      <c r="M101" s="36">
        <v>0.37</v>
      </c>
      <c r="N101" s="36">
        <v>0.37</v>
      </c>
    </row>
    <row r="102" spans="4:14" x14ac:dyDescent="0.25">
      <c r="D102" s="25" t="s">
        <v>104</v>
      </c>
      <c r="H102" s="7"/>
      <c r="I102" s="36">
        <f>I101-2%</f>
        <v>0.35</v>
      </c>
      <c r="J102" s="36">
        <f t="shared" ref="J102:N102" si="141">J101-2%</f>
        <v>0.37</v>
      </c>
      <c r="K102" s="36">
        <f t="shared" si="141"/>
        <v>0.35</v>
      </c>
      <c r="L102" s="36">
        <f t="shared" si="141"/>
        <v>0.35</v>
      </c>
      <c r="M102" s="36">
        <f t="shared" si="141"/>
        <v>0.35</v>
      </c>
      <c r="N102" s="36">
        <f t="shared" si="141"/>
        <v>0.35</v>
      </c>
    </row>
    <row r="103" spans="4:14" x14ac:dyDescent="0.25">
      <c r="D103" s="25" t="s">
        <v>105</v>
      </c>
      <c r="H103" s="7"/>
      <c r="I103" s="36">
        <f>I101+2%</f>
        <v>0.39</v>
      </c>
      <c r="J103" s="36">
        <f t="shared" ref="J103:N103" si="142">J101+2%</f>
        <v>0.41000000000000003</v>
      </c>
      <c r="K103" s="36">
        <f t="shared" si="142"/>
        <v>0.39</v>
      </c>
      <c r="L103" s="36">
        <f t="shared" si="142"/>
        <v>0.39</v>
      </c>
      <c r="M103" s="36">
        <f t="shared" si="142"/>
        <v>0.39</v>
      </c>
      <c r="N103" s="36">
        <f t="shared" si="142"/>
        <v>0.39</v>
      </c>
    </row>
    <row r="104" spans="4:14" x14ac:dyDescent="0.25">
      <c r="H104" s="7"/>
    </row>
    <row r="105" spans="4:14" x14ac:dyDescent="0.25">
      <c r="D105" s="1" t="s">
        <v>115</v>
      </c>
      <c r="G105" s="33">
        <f>'MTD Historicals'!G37</f>
        <v>778600</v>
      </c>
      <c r="H105" s="34">
        <f>'MTD Historicals'!H37</f>
        <v>803374</v>
      </c>
      <c r="I105" s="33">
        <f>H108</f>
        <v>862003</v>
      </c>
      <c r="J105" s="33">
        <f t="shared" ref="J105:K105" ca="1" si="143">I108</f>
        <v>933984.14155119995</v>
      </c>
      <c r="K105" s="33">
        <f t="shared" ca="1" si="143"/>
        <v>1001587.8570139875</v>
      </c>
      <c r="L105" s="33">
        <f t="shared" ref="L105" ca="1" si="144">K108</f>
        <v>1077153.6522737404</v>
      </c>
      <c r="M105" s="33">
        <f t="shared" ref="M105:N105" ca="1" si="145">L108</f>
        <v>1162210.1392184712</v>
      </c>
      <c r="N105" s="33">
        <f t="shared" ca="1" si="145"/>
        <v>1248388.1803492974</v>
      </c>
    </row>
    <row r="106" spans="4:14" x14ac:dyDescent="0.25">
      <c r="D106" s="25" t="s">
        <v>116</v>
      </c>
      <c r="G106" s="50">
        <f>G93</f>
        <v>121241</v>
      </c>
      <c r="H106" s="51">
        <f>H93</f>
        <v>107580</v>
      </c>
      <c r="I106" s="2">
        <f ca="1">I93</f>
        <v>114255.78024000001</v>
      </c>
      <c r="J106" s="2">
        <f t="shared" ref="J106:K106" ca="1" si="146">J93</f>
        <v>110825.76305375002</v>
      </c>
      <c r="K106" s="2">
        <f t="shared" ca="1" si="146"/>
        <v>119945.70676151251</v>
      </c>
      <c r="L106" s="2">
        <f t="shared" ref="L106:M106" ca="1" si="147">L93</f>
        <v>135010.29673766808</v>
      </c>
      <c r="M106" s="2">
        <f t="shared" ca="1" si="147"/>
        <v>136790.5414775018</v>
      </c>
      <c r="N106" s="2">
        <f t="shared" ref="N106" ca="1" si="148">N93</f>
        <v>132164.77904700581</v>
      </c>
    </row>
    <row r="107" spans="4:14" x14ac:dyDescent="0.25">
      <c r="D107" s="25" t="s">
        <v>117</v>
      </c>
      <c r="G107" s="2">
        <f>G99</f>
        <v>46784</v>
      </c>
      <c r="H107" s="6">
        <f>H99</f>
        <v>48951</v>
      </c>
      <c r="I107" s="2">
        <f ca="1">I99</f>
        <v>42274.638688800005</v>
      </c>
      <c r="J107" s="2">
        <f t="shared" ref="J107:K107" ca="1" si="149">J99</f>
        <v>43222.047590962509</v>
      </c>
      <c r="K107" s="2">
        <f t="shared" ca="1" si="149"/>
        <v>44379.911501759627</v>
      </c>
      <c r="L107" s="2">
        <f t="shared" ref="L107:M107" ca="1" si="150">L99</f>
        <v>49953.809792937187</v>
      </c>
      <c r="M107" s="2">
        <f t="shared" ca="1" si="150"/>
        <v>50612.500346675668</v>
      </c>
      <c r="N107" s="2">
        <f t="shared" ref="N107" ca="1" si="151">N99</f>
        <v>48900.968247392149</v>
      </c>
    </row>
    <row r="108" spans="4:14" x14ac:dyDescent="0.25">
      <c r="D108" s="1" t="s">
        <v>118</v>
      </c>
      <c r="G108" s="33">
        <f>G105+G106-G107</f>
        <v>853057</v>
      </c>
      <c r="H108" s="34">
        <f>H105+H106-H107</f>
        <v>862003</v>
      </c>
      <c r="I108" s="33">
        <f ca="1">I105+I106-I107</f>
        <v>933984.14155119995</v>
      </c>
      <c r="J108" s="33">
        <f t="shared" ref="J108:K108" ca="1" si="152">J105+J106-J107</f>
        <v>1001587.8570139875</v>
      </c>
      <c r="K108" s="33">
        <f t="shared" ca="1" si="152"/>
        <v>1077153.6522737404</v>
      </c>
      <c r="L108" s="33">
        <f t="shared" ref="L108:M108" ca="1" si="153">L105+L106-L107</f>
        <v>1162210.1392184712</v>
      </c>
      <c r="M108" s="33">
        <f t="shared" ca="1" si="153"/>
        <v>1248388.1803492974</v>
      </c>
      <c r="N108" s="33">
        <f t="shared" ref="N108" ca="1" si="154">N105+N106-N107</f>
        <v>1331651.991148911</v>
      </c>
    </row>
    <row r="109" spans="4:14" x14ac:dyDescent="0.25">
      <c r="H109" s="8"/>
      <c r="I109" s="40"/>
    </row>
    <row r="110" spans="4:14" x14ac:dyDescent="0.25">
      <c r="D110" s="17" t="s">
        <v>119</v>
      </c>
      <c r="E110" s="17"/>
      <c r="F110" s="60">
        <v>44561</v>
      </c>
      <c r="G110" s="60">
        <f>EOMONTH(F110,12)</f>
        <v>44926</v>
      </c>
      <c r="H110" s="60">
        <f t="shared" ref="H110" si="155">EOMONTH(G110,12)</f>
        <v>45291</v>
      </c>
      <c r="I110" s="61">
        <f t="shared" ref="I110" si="156">EOMONTH(H110,12)</f>
        <v>45657</v>
      </c>
      <c r="J110" s="61">
        <f t="shared" ref="J110" si="157">EOMONTH(I110,12)</f>
        <v>46022</v>
      </c>
      <c r="K110" s="61">
        <f t="shared" ref="K110" si="158">EOMONTH(J110,12)</f>
        <v>46387</v>
      </c>
      <c r="L110" s="61">
        <f t="shared" ref="L110" si="159">EOMONTH(K110,12)</f>
        <v>46752</v>
      </c>
      <c r="M110" s="61">
        <f t="shared" ref="M110:N110" si="160">EOMONTH(L110,12)</f>
        <v>47118</v>
      </c>
      <c r="N110" s="61">
        <f t="shared" si="160"/>
        <v>47483</v>
      </c>
    </row>
    <row r="111" spans="4:14" x14ac:dyDescent="0.25">
      <c r="D111" s="14" t="s">
        <v>123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4:14" x14ac:dyDescent="0.25">
      <c r="D112" s="1" t="s">
        <v>120</v>
      </c>
      <c r="F112" s="2"/>
      <c r="G112" s="33">
        <f>'MTD Historicals'!G33</f>
        <v>709321</v>
      </c>
      <c r="H112" s="34">
        <f>'MTD Historicals'!H33</f>
        <v>663893</v>
      </c>
      <c r="I112" s="33">
        <f t="shared" ref="I112:N112" ca="1" si="161">I49*I113</f>
        <v>632487.35490000003</v>
      </c>
      <c r="J112" s="33">
        <f t="shared" ca="1" si="161"/>
        <v>664954.57832250011</v>
      </c>
      <c r="K112" s="33">
        <f t="shared" ca="1" si="161"/>
        <v>671695.95786447008</v>
      </c>
      <c r="L112" s="33">
        <f t="shared" ca="1" si="161"/>
        <v>675051.48368834041</v>
      </c>
      <c r="M112" s="33">
        <f t="shared" ca="1" si="161"/>
        <v>669994.4888693965</v>
      </c>
      <c r="N112" s="33">
        <f t="shared" ca="1" si="161"/>
        <v>720898.79480184999</v>
      </c>
    </row>
    <row r="113" spans="4:14" x14ac:dyDescent="0.25">
      <c r="D113" s="28" t="s">
        <v>108</v>
      </c>
      <c r="G113" s="31">
        <f>G112/G47</f>
        <v>0.18096266840216965</v>
      </c>
      <c r="H113" s="32">
        <f>H112/H47</f>
        <v>0.17524784805040983</v>
      </c>
      <c r="I113" s="44">
        <f ca="1">OFFSET(I113,$F$5,)</f>
        <v>0.155</v>
      </c>
      <c r="J113" s="46">
        <f t="shared" ref="J113:N113" ca="1" si="162">OFFSET(J113,$F$5,)</f>
        <v>0.15</v>
      </c>
      <c r="K113" s="46">
        <f t="shared" ca="1" si="162"/>
        <v>0.14000000000000001</v>
      </c>
      <c r="L113" s="46">
        <f t="shared" ca="1" si="162"/>
        <v>0.13</v>
      </c>
      <c r="M113" s="46">
        <f t="shared" ca="1" si="162"/>
        <v>0.12</v>
      </c>
      <c r="N113" s="46">
        <f t="shared" ca="1" si="162"/>
        <v>0.12</v>
      </c>
    </row>
    <row r="114" spans="4:14" x14ac:dyDescent="0.25">
      <c r="D114" s="25" t="s">
        <v>103</v>
      </c>
      <c r="H114" s="7"/>
      <c r="I114" s="36">
        <v>0.155</v>
      </c>
      <c r="J114" s="36">
        <v>0.15</v>
      </c>
      <c r="K114" s="36">
        <v>0.14000000000000001</v>
      </c>
      <c r="L114" s="36">
        <v>0.13</v>
      </c>
      <c r="M114" s="36">
        <v>0.12</v>
      </c>
      <c r="N114" s="36">
        <v>0.12</v>
      </c>
    </row>
    <row r="115" spans="4:14" x14ac:dyDescent="0.25">
      <c r="D115" s="25" t="s">
        <v>104</v>
      </c>
      <c r="H115" s="7"/>
      <c r="I115" s="36">
        <f>I114-2%</f>
        <v>0.13500000000000001</v>
      </c>
      <c r="J115" s="36">
        <f t="shared" ref="J115:N115" si="163">J114-2%</f>
        <v>0.13</v>
      </c>
      <c r="K115" s="36">
        <f t="shared" si="163"/>
        <v>0.12000000000000001</v>
      </c>
      <c r="L115" s="36">
        <f t="shared" si="163"/>
        <v>0.11</v>
      </c>
      <c r="M115" s="36">
        <f t="shared" si="163"/>
        <v>9.9999999999999992E-2</v>
      </c>
      <c r="N115" s="36">
        <f t="shared" si="163"/>
        <v>9.9999999999999992E-2</v>
      </c>
    </row>
    <row r="116" spans="4:14" x14ac:dyDescent="0.25">
      <c r="D116" s="25" t="s">
        <v>105</v>
      </c>
      <c r="H116" s="7"/>
      <c r="I116" s="36">
        <f>I11+2%</f>
        <v>9.0000000000000011E-2</v>
      </c>
      <c r="J116" s="36">
        <f t="shared" ref="J116:N116" si="164">J11+2%</f>
        <v>9.0000000000000011E-2</v>
      </c>
      <c r="K116" s="36">
        <f t="shared" si="164"/>
        <v>0.11</v>
      </c>
      <c r="L116" s="36">
        <f t="shared" si="164"/>
        <v>0.12000000000000001</v>
      </c>
      <c r="M116" s="36">
        <f t="shared" si="164"/>
        <v>0.12000000000000001</v>
      </c>
      <c r="N116" s="36">
        <f t="shared" si="164"/>
        <v>0.12000000000000001</v>
      </c>
    </row>
    <row r="117" spans="4:14" x14ac:dyDescent="0.25">
      <c r="H117" s="7"/>
    </row>
    <row r="118" spans="4:14" x14ac:dyDescent="0.25">
      <c r="D118" s="1" t="s">
        <v>121</v>
      </c>
      <c r="G118" s="47">
        <f>'MTD Historicals'!G34</f>
        <v>441694</v>
      </c>
      <c r="H118" s="34">
        <f>'MTD Historicals'!H34</f>
        <v>385865</v>
      </c>
      <c r="I118" s="33">
        <f t="shared" ref="I118:N118" ca="1" si="165">I49*I119</f>
        <v>326445.08640000003</v>
      </c>
      <c r="J118" s="33">
        <f t="shared" ca="1" si="165"/>
        <v>334250.50137011003</v>
      </c>
      <c r="K118" s="33">
        <f t="shared" ca="1" si="165"/>
        <v>335847.97893223504</v>
      </c>
      <c r="L118" s="33">
        <f t="shared" ca="1" si="165"/>
        <v>342718.44556484971</v>
      </c>
      <c r="M118" s="33">
        <f t="shared" ca="1" si="165"/>
        <v>357330.39406367816</v>
      </c>
      <c r="N118" s="33">
        <f t="shared" ca="1" si="165"/>
        <v>384479.35722765332</v>
      </c>
    </row>
    <row r="119" spans="4:14" x14ac:dyDescent="0.25">
      <c r="D119" s="28" t="s">
        <v>108</v>
      </c>
      <c r="G119" s="31">
        <f>G118/G47</f>
        <v>0.11268540598294415</v>
      </c>
      <c r="H119" s="31">
        <f>H118/H47</f>
        <v>0.10185679151304712</v>
      </c>
      <c r="I119" s="44">
        <f ca="1">OFFSET(I119,$F$5,)</f>
        <v>0.08</v>
      </c>
      <c r="J119" s="46">
        <f t="shared" ref="J119:N119" ca="1" si="166">OFFSET(J119,$F$5,)</f>
        <v>7.5399999999999995E-2</v>
      </c>
      <c r="K119" s="46">
        <f t="shared" ca="1" si="166"/>
        <v>7.0000000000000007E-2</v>
      </c>
      <c r="L119" s="46">
        <f t="shared" ca="1" si="166"/>
        <v>6.6000000000000003E-2</v>
      </c>
      <c r="M119" s="46">
        <f t="shared" ca="1" si="166"/>
        <v>6.4000000000000001E-2</v>
      </c>
      <c r="N119" s="46">
        <f t="shared" ca="1" si="166"/>
        <v>6.4000000000000001E-2</v>
      </c>
    </row>
    <row r="120" spans="4:14" x14ac:dyDescent="0.25">
      <c r="D120" s="25" t="s">
        <v>103</v>
      </c>
      <c r="H120" s="7"/>
      <c r="I120" s="36">
        <v>0.08</v>
      </c>
      <c r="J120" s="36">
        <v>7.5399999999999995E-2</v>
      </c>
      <c r="K120" s="36">
        <v>7.0000000000000007E-2</v>
      </c>
      <c r="L120" s="36">
        <v>6.6000000000000003E-2</v>
      </c>
      <c r="M120" s="36">
        <v>6.4000000000000001E-2</v>
      </c>
      <c r="N120" s="36">
        <v>6.4000000000000001E-2</v>
      </c>
    </row>
    <row r="121" spans="4:14" x14ac:dyDescent="0.25">
      <c r="D121" s="25" t="s">
        <v>104</v>
      </c>
      <c r="H121" s="7"/>
      <c r="I121" s="36">
        <f>I120-2%</f>
        <v>0.06</v>
      </c>
      <c r="J121" s="36">
        <f t="shared" ref="J121:N121" si="167">J120-2%</f>
        <v>5.5399999999999991E-2</v>
      </c>
      <c r="K121" s="36">
        <f t="shared" si="167"/>
        <v>0.05</v>
      </c>
      <c r="L121" s="36">
        <f t="shared" si="167"/>
        <v>4.5999999999999999E-2</v>
      </c>
      <c r="M121" s="36">
        <f t="shared" si="167"/>
        <v>4.3999999999999997E-2</v>
      </c>
      <c r="N121" s="36">
        <f t="shared" si="167"/>
        <v>4.3999999999999997E-2</v>
      </c>
    </row>
    <row r="122" spans="4:14" x14ac:dyDescent="0.25">
      <c r="D122" s="25" t="s">
        <v>105</v>
      </c>
      <c r="H122" s="7"/>
      <c r="I122" s="36">
        <f>I120+2%</f>
        <v>0.1</v>
      </c>
      <c r="J122" s="36">
        <f t="shared" ref="J122:N122" si="168">J120+2%</f>
        <v>9.5399999999999999E-2</v>
      </c>
      <c r="K122" s="36">
        <f t="shared" si="168"/>
        <v>9.0000000000000011E-2</v>
      </c>
      <c r="L122" s="36">
        <f t="shared" si="168"/>
        <v>8.6000000000000007E-2</v>
      </c>
      <c r="M122" s="36">
        <f t="shared" si="168"/>
        <v>8.4000000000000005E-2</v>
      </c>
      <c r="N122" s="36">
        <f t="shared" si="168"/>
        <v>8.4000000000000005E-2</v>
      </c>
    </row>
    <row r="123" spans="4:14" x14ac:dyDescent="0.25">
      <c r="H123" s="7"/>
    </row>
    <row r="124" spans="4:14" x14ac:dyDescent="0.25">
      <c r="D124" s="1" t="s">
        <v>122</v>
      </c>
      <c r="G124" s="47">
        <f>'MTD Historicals'!G35</f>
        <v>128108</v>
      </c>
      <c r="H124" s="34">
        <f>'MTD Historicals'!H35</f>
        <v>110638</v>
      </c>
      <c r="I124" s="33">
        <f t="shared" ref="I124:N124" ca="1" si="169">I125*I49</f>
        <v>110175.21666000001</v>
      </c>
      <c r="J124" s="33">
        <f t="shared" ca="1" si="169"/>
        <v>110825.76305375002</v>
      </c>
      <c r="K124" s="33">
        <f t="shared" ca="1" si="169"/>
        <v>119945.70676151251</v>
      </c>
      <c r="L124" s="33">
        <f t="shared" ca="1" si="169"/>
        <v>119432.18557562944</v>
      </c>
      <c r="M124" s="33">
        <f t="shared" ca="1" si="169"/>
        <v>117249.0355521444</v>
      </c>
      <c r="N124" s="33">
        <f t="shared" ca="1" si="169"/>
        <v>126157.28909032376</v>
      </c>
    </row>
    <row r="125" spans="4:14" x14ac:dyDescent="0.25">
      <c r="D125" s="28" t="s">
        <v>108</v>
      </c>
      <c r="G125" s="31">
        <f>G124/G47</f>
        <v>3.2683038460253042E-2</v>
      </c>
      <c r="H125" s="31">
        <f>H124/H47</f>
        <v>2.9205114999858776E-2</v>
      </c>
      <c r="I125" s="44">
        <f ca="1">OFFSET(I125,$F$5,)</f>
        <v>2.7E-2</v>
      </c>
      <c r="J125" s="46">
        <f t="shared" ref="J125:N125" ca="1" si="170">OFFSET(J125,$F$5,)</f>
        <v>2.5000000000000001E-2</v>
      </c>
      <c r="K125" s="46">
        <f t="shared" ca="1" si="170"/>
        <v>2.5000000000000001E-2</v>
      </c>
      <c r="L125" s="46">
        <f t="shared" ca="1" si="170"/>
        <v>2.3E-2</v>
      </c>
      <c r="M125" s="46">
        <f t="shared" ca="1" si="170"/>
        <v>2.1000000000000001E-2</v>
      </c>
      <c r="N125" s="46">
        <f t="shared" ca="1" si="170"/>
        <v>2.1000000000000001E-2</v>
      </c>
    </row>
    <row r="126" spans="4:14" x14ac:dyDescent="0.25">
      <c r="D126" s="25" t="s">
        <v>103</v>
      </c>
      <c r="H126" s="7"/>
      <c r="I126" s="36">
        <v>2.7E-2</v>
      </c>
      <c r="J126" s="36">
        <v>2.5000000000000001E-2</v>
      </c>
      <c r="K126" s="36">
        <v>2.5000000000000001E-2</v>
      </c>
      <c r="L126" s="36">
        <v>2.3E-2</v>
      </c>
      <c r="M126" s="36">
        <v>2.1000000000000001E-2</v>
      </c>
      <c r="N126" s="36">
        <v>2.1000000000000001E-2</v>
      </c>
    </row>
    <row r="127" spans="4:14" x14ac:dyDescent="0.25">
      <c r="D127" s="25" t="s">
        <v>104</v>
      </c>
      <c r="H127" s="7"/>
      <c r="I127" s="36">
        <f>I126-2%</f>
        <v>6.9999999999999993E-3</v>
      </c>
      <c r="J127" s="36">
        <f t="shared" ref="J127:N127" si="171">J126-2%</f>
        <v>5.000000000000001E-3</v>
      </c>
      <c r="K127" s="36">
        <f t="shared" si="171"/>
        <v>5.000000000000001E-3</v>
      </c>
      <c r="L127" s="36">
        <f t="shared" si="171"/>
        <v>2.9999999999999992E-3</v>
      </c>
      <c r="M127" s="36">
        <f t="shared" si="171"/>
        <v>1.0000000000000009E-3</v>
      </c>
      <c r="N127" s="36">
        <f t="shared" si="171"/>
        <v>1.0000000000000009E-3</v>
      </c>
    </row>
    <row r="128" spans="4:14" x14ac:dyDescent="0.25">
      <c r="D128" s="25" t="s">
        <v>105</v>
      </c>
      <c r="H128" s="7"/>
      <c r="I128" s="36">
        <f>I126+2%</f>
        <v>4.7E-2</v>
      </c>
      <c r="J128" s="36">
        <f t="shared" ref="J128:N128" si="172">J126+2%</f>
        <v>4.4999999999999998E-2</v>
      </c>
      <c r="K128" s="36">
        <f t="shared" si="172"/>
        <v>4.4999999999999998E-2</v>
      </c>
      <c r="L128" s="36">
        <f t="shared" si="172"/>
        <v>4.2999999999999997E-2</v>
      </c>
      <c r="M128" s="36">
        <f t="shared" si="172"/>
        <v>4.1000000000000002E-2</v>
      </c>
      <c r="N128" s="36">
        <f t="shared" si="172"/>
        <v>4.1000000000000002E-2</v>
      </c>
    </row>
    <row r="129" spans="4:14" x14ac:dyDescent="0.25">
      <c r="H129" s="7"/>
    </row>
    <row r="130" spans="4:14" x14ac:dyDescent="0.25">
      <c r="D130" s="14" t="s">
        <v>124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4:14" x14ac:dyDescent="0.25">
      <c r="D131" s="1" t="s">
        <v>125</v>
      </c>
      <c r="G131" s="33">
        <f>'MTD Historicals'!G44</f>
        <v>252538</v>
      </c>
      <c r="H131" s="34">
        <f>'MTD Historicals'!H44</f>
        <v>210411</v>
      </c>
      <c r="I131" s="33">
        <f t="shared" ref="I131:N131" ca="1" si="173">I132*I49</f>
        <v>204028.179</v>
      </c>
      <c r="J131" s="33">
        <f t="shared" ca="1" si="173"/>
        <v>221651.52610750005</v>
      </c>
      <c r="K131" s="33">
        <f t="shared" ca="1" si="173"/>
        <v>239891.41352302502</v>
      </c>
      <c r="L131" s="33">
        <f t="shared" ca="1" si="173"/>
        <v>259635.18603397708</v>
      </c>
      <c r="M131" s="33">
        <f t="shared" ca="1" si="173"/>
        <v>279164.37036224856</v>
      </c>
      <c r="N131" s="33">
        <f t="shared" ca="1" si="173"/>
        <v>300374.49783410417</v>
      </c>
    </row>
    <row r="132" spans="4:14" x14ac:dyDescent="0.25">
      <c r="D132" s="28" t="s">
        <v>108</v>
      </c>
      <c r="G132" s="31">
        <f>G131/G47</f>
        <v>6.4427741957374898E-2</v>
      </c>
      <c r="H132" s="32">
        <f>H131/H47</f>
        <v>5.554219573957668E-2</v>
      </c>
      <c r="I132" s="44">
        <f ca="1">OFFSET(I132,$F$5,)</f>
        <v>0.05</v>
      </c>
      <c r="J132" s="46">
        <f t="shared" ref="J132:N132" ca="1" si="174">OFFSET(J132,$F$5,)</f>
        <v>0.05</v>
      </c>
      <c r="K132" s="46">
        <f t="shared" ca="1" si="174"/>
        <v>0.05</v>
      </c>
      <c r="L132" s="46">
        <f t="shared" ca="1" si="174"/>
        <v>0.05</v>
      </c>
      <c r="M132" s="46">
        <f t="shared" ca="1" si="174"/>
        <v>0.05</v>
      </c>
      <c r="N132" s="46">
        <f t="shared" ca="1" si="174"/>
        <v>0.05</v>
      </c>
    </row>
    <row r="133" spans="4:14" x14ac:dyDescent="0.25">
      <c r="D133" s="25" t="s">
        <v>103</v>
      </c>
      <c r="H133" s="7"/>
      <c r="I133" s="36">
        <v>0.05</v>
      </c>
      <c r="J133" s="36">
        <v>0.05</v>
      </c>
      <c r="K133" s="36">
        <v>0.05</v>
      </c>
      <c r="L133" s="36">
        <v>0.05</v>
      </c>
      <c r="M133" s="36">
        <v>0.05</v>
      </c>
      <c r="N133" s="36">
        <v>0.05</v>
      </c>
    </row>
    <row r="134" spans="4:14" x14ac:dyDescent="0.25">
      <c r="D134" s="25" t="s">
        <v>104</v>
      </c>
      <c r="H134" s="7"/>
      <c r="I134" s="36">
        <f>I133+2%</f>
        <v>7.0000000000000007E-2</v>
      </c>
      <c r="J134" s="36">
        <f t="shared" ref="J134:K134" si="175">J133+2%</f>
        <v>7.0000000000000007E-2</v>
      </c>
      <c r="K134" s="36">
        <f t="shared" si="175"/>
        <v>7.0000000000000007E-2</v>
      </c>
      <c r="L134" s="36">
        <f t="shared" ref="L134:M134" si="176">L133+2%</f>
        <v>7.0000000000000007E-2</v>
      </c>
      <c r="M134" s="36">
        <f t="shared" si="176"/>
        <v>7.0000000000000007E-2</v>
      </c>
      <c r="N134" s="36">
        <f t="shared" ref="N134" si="177">N133+2%</f>
        <v>7.0000000000000007E-2</v>
      </c>
    </row>
    <row r="135" spans="4:14" x14ac:dyDescent="0.25">
      <c r="D135" s="25" t="s">
        <v>105</v>
      </c>
      <c r="H135" s="7"/>
      <c r="I135" s="36">
        <f>I133-2%</f>
        <v>3.0000000000000002E-2</v>
      </c>
      <c r="J135" s="36">
        <f t="shared" ref="J135:K135" si="178">J133-2%</f>
        <v>3.0000000000000002E-2</v>
      </c>
      <c r="K135" s="36">
        <f t="shared" si="178"/>
        <v>3.0000000000000002E-2</v>
      </c>
      <c r="L135" s="36">
        <f t="shared" ref="L135:M135" si="179">L133-2%</f>
        <v>3.0000000000000002E-2</v>
      </c>
      <c r="M135" s="36">
        <f t="shared" si="179"/>
        <v>3.0000000000000002E-2</v>
      </c>
      <c r="N135" s="36">
        <f t="shared" ref="N135" si="180">N133-2%</f>
        <v>3.0000000000000002E-2</v>
      </c>
    </row>
    <row r="136" spans="4:14" x14ac:dyDescent="0.25">
      <c r="H136" s="7"/>
    </row>
    <row r="137" spans="4:14" x14ac:dyDescent="0.25">
      <c r="H137" s="7"/>
    </row>
    <row r="138" spans="4:14" x14ac:dyDescent="0.25">
      <c r="H138" s="7"/>
    </row>
    <row r="139" spans="4:14" x14ac:dyDescent="0.25">
      <c r="D139" s="1" t="s">
        <v>139</v>
      </c>
      <c r="G139" s="33">
        <f>'MTD Historicals'!G48</f>
        <v>191096</v>
      </c>
      <c r="H139" s="34">
        <f>'MTD Historicals'!H48</f>
        <v>219984</v>
      </c>
      <c r="I139" s="33">
        <f t="shared" ref="I139:N139" ca="1" si="181">I140*I49</f>
        <v>236672.68764000002</v>
      </c>
      <c r="J139" s="33">
        <f t="shared" ca="1" si="181"/>
        <v>257115.77028470003</v>
      </c>
      <c r="K139" s="33">
        <f t="shared" ca="1" si="181"/>
        <v>278274.03968670906</v>
      </c>
      <c r="L139" s="33">
        <f t="shared" ca="1" si="181"/>
        <v>301176.81579941342</v>
      </c>
      <c r="M139" s="33">
        <f t="shared" ca="1" si="181"/>
        <v>323830.66962020833</v>
      </c>
      <c r="N139" s="33">
        <f t="shared" ca="1" si="181"/>
        <v>348434.41748756083</v>
      </c>
    </row>
    <row r="140" spans="4:14" x14ac:dyDescent="0.25">
      <c r="D140" s="28" t="s">
        <v>108</v>
      </c>
      <c r="G140" s="31">
        <f>G139/G47</f>
        <v>4.87525987260789E-2</v>
      </c>
      <c r="H140" s="32">
        <f>H139/H47</f>
        <v>5.8069180734728873E-2</v>
      </c>
      <c r="I140" s="44">
        <f ca="1">OFFSET(I140,$F$5,)</f>
        <v>5.8000000000000003E-2</v>
      </c>
      <c r="J140" s="46">
        <f t="shared" ref="J140:N140" ca="1" si="182">OFFSET(J140,$F$5,)</f>
        <v>5.8000000000000003E-2</v>
      </c>
      <c r="K140" s="46">
        <f t="shared" ca="1" si="182"/>
        <v>5.8000000000000003E-2</v>
      </c>
      <c r="L140" s="46">
        <f t="shared" ca="1" si="182"/>
        <v>5.8000000000000003E-2</v>
      </c>
      <c r="M140" s="46">
        <f t="shared" ca="1" si="182"/>
        <v>5.8000000000000003E-2</v>
      </c>
      <c r="N140" s="46">
        <f t="shared" ca="1" si="182"/>
        <v>5.8000000000000003E-2</v>
      </c>
    </row>
    <row r="141" spans="4:14" x14ac:dyDescent="0.25">
      <c r="D141" s="25" t="s">
        <v>103</v>
      </c>
      <c r="H141" s="7"/>
      <c r="I141" s="36">
        <v>5.8000000000000003E-2</v>
      </c>
      <c r="J141" s="36">
        <v>5.8000000000000003E-2</v>
      </c>
      <c r="K141" s="36">
        <v>5.8000000000000003E-2</v>
      </c>
      <c r="L141" s="36">
        <v>5.8000000000000003E-2</v>
      </c>
      <c r="M141" s="36">
        <v>5.8000000000000003E-2</v>
      </c>
      <c r="N141" s="36">
        <v>5.8000000000000003E-2</v>
      </c>
    </row>
    <row r="142" spans="4:14" x14ac:dyDescent="0.25">
      <c r="D142" s="25" t="s">
        <v>104</v>
      </c>
      <c r="H142" s="7"/>
      <c r="I142" s="36">
        <f>I141+2%</f>
        <v>7.8E-2</v>
      </c>
      <c r="J142" s="36">
        <f t="shared" ref="J142:K142" si="183">J141+2%</f>
        <v>7.8E-2</v>
      </c>
      <c r="K142" s="36">
        <f t="shared" si="183"/>
        <v>7.8E-2</v>
      </c>
      <c r="L142" s="36">
        <f t="shared" ref="L142:M142" si="184">L141+2%</f>
        <v>7.8E-2</v>
      </c>
      <c r="M142" s="36">
        <f t="shared" si="184"/>
        <v>7.8E-2</v>
      </c>
      <c r="N142" s="36">
        <f t="shared" ref="N142" si="185">N141+2%</f>
        <v>7.8E-2</v>
      </c>
    </row>
    <row r="143" spans="4:14" x14ac:dyDescent="0.25">
      <c r="D143" s="25" t="s">
        <v>105</v>
      </c>
      <c r="H143" s="7"/>
      <c r="I143" s="36">
        <f>I141-2%</f>
        <v>3.8000000000000006E-2</v>
      </c>
      <c r="J143" s="36">
        <f t="shared" ref="J143:K143" si="186">J141-2%</f>
        <v>3.8000000000000006E-2</v>
      </c>
      <c r="K143" s="36">
        <f t="shared" si="186"/>
        <v>3.8000000000000006E-2</v>
      </c>
      <c r="L143" s="36">
        <f t="shared" ref="L143:M143" si="187">L141-2%</f>
        <v>3.8000000000000006E-2</v>
      </c>
      <c r="M143" s="36">
        <f t="shared" si="187"/>
        <v>3.8000000000000006E-2</v>
      </c>
      <c r="N143" s="36">
        <f t="shared" ref="N143" si="188">N141-2%</f>
        <v>3.8000000000000006E-2</v>
      </c>
    </row>
    <row r="144" spans="4:14" x14ac:dyDescent="0.25">
      <c r="H144" s="7"/>
    </row>
    <row r="145" spans="4:14" x14ac:dyDescent="0.25">
      <c r="D145" s="1" t="s">
        <v>34</v>
      </c>
      <c r="G145" s="33">
        <f>'MTD Historicals'!G45</f>
        <v>205253</v>
      </c>
      <c r="H145" s="34">
        <f>'MTD Historicals'!H45</f>
        <v>196138</v>
      </c>
      <c r="I145" s="33">
        <f t="shared" ref="I145:N145" ca="1" si="189">I146*I49</f>
        <v>212189.30616000001</v>
      </c>
      <c r="J145" s="33">
        <f t="shared" ca="1" si="189"/>
        <v>230517.58715180002</v>
      </c>
      <c r="K145" s="33">
        <f t="shared" ca="1" si="189"/>
        <v>249487.07006394601</v>
      </c>
      <c r="L145" s="33">
        <f t="shared" ca="1" si="189"/>
        <v>270020.59347533615</v>
      </c>
      <c r="M145" s="33">
        <f t="shared" ca="1" si="189"/>
        <v>290330.94517673849</v>
      </c>
      <c r="N145" s="33">
        <f t="shared" ca="1" si="189"/>
        <v>312389.47774746834</v>
      </c>
    </row>
    <row r="146" spans="4:14" x14ac:dyDescent="0.25">
      <c r="D146" s="28" t="s">
        <v>108</v>
      </c>
      <c r="G146" s="31">
        <f>G145/G47</f>
        <v>5.2364346434901163E-2</v>
      </c>
      <c r="H146" s="31">
        <f>H145/H47</f>
        <v>5.1774551653521399E-2</v>
      </c>
      <c r="I146" s="44">
        <f ca="1">OFFSET(I146,$F$5,)</f>
        <v>5.1999999999999998E-2</v>
      </c>
      <c r="J146" s="46">
        <f t="shared" ref="J146:N146" ca="1" si="190">OFFSET(J146,$F$5,)</f>
        <v>5.1999999999999998E-2</v>
      </c>
      <c r="K146" s="46">
        <f t="shared" ca="1" si="190"/>
        <v>5.1999999999999998E-2</v>
      </c>
      <c r="L146" s="46">
        <f t="shared" ca="1" si="190"/>
        <v>5.1999999999999998E-2</v>
      </c>
      <c r="M146" s="46">
        <f t="shared" ca="1" si="190"/>
        <v>5.1999999999999998E-2</v>
      </c>
      <c r="N146" s="46">
        <f t="shared" ca="1" si="190"/>
        <v>5.1999999999999998E-2</v>
      </c>
    </row>
    <row r="147" spans="4:14" x14ac:dyDescent="0.25">
      <c r="D147" s="25" t="s">
        <v>103</v>
      </c>
      <c r="H147" s="7"/>
      <c r="I147" s="36">
        <v>5.1999999999999998E-2</v>
      </c>
      <c r="J147" s="36">
        <v>5.1999999999999998E-2</v>
      </c>
      <c r="K147" s="36">
        <v>5.1999999999999998E-2</v>
      </c>
      <c r="L147" s="36">
        <v>5.1999999999999998E-2</v>
      </c>
      <c r="M147" s="36">
        <v>5.1999999999999998E-2</v>
      </c>
      <c r="N147" s="36">
        <v>5.1999999999999998E-2</v>
      </c>
    </row>
    <row r="148" spans="4:14" x14ac:dyDescent="0.25">
      <c r="D148" s="25" t="s">
        <v>104</v>
      </c>
      <c r="H148" s="7"/>
      <c r="I148" s="36">
        <f>I147+2%</f>
        <v>7.1999999999999995E-2</v>
      </c>
      <c r="J148" s="36">
        <f t="shared" ref="J148:K148" si="191">J147+2%</f>
        <v>7.1999999999999995E-2</v>
      </c>
      <c r="K148" s="36">
        <f t="shared" si="191"/>
        <v>7.1999999999999995E-2</v>
      </c>
      <c r="L148" s="36">
        <f t="shared" ref="L148:M148" si="192">L147+2%</f>
        <v>7.1999999999999995E-2</v>
      </c>
      <c r="M148" s="36">
        <f t="shared" si="192"/>
        <v>7.1999999999999995E-2</v>
      </c>
      <c r="N148" s="36">
        <f t="shared" ref="N148" si="193">N147+2%</f>
        <v>7.1999999999999995E-2</v>
      </c>
    </row>
    <row r="149" spans="4:14" x14ac:dyDescent="0.25">
      <c r="D149" s="25" t="s">
        <v>105</v>
      </c>
      <c r="H149" s="7"/>
      <c r="I149" s="36">
        <f>I147-2%</f>
        <v>3.2000000000000001E-2</v>
      </c>
      <c r="J149" s="36">
        <f t="shared" ref="J149:K149" si="194">J147-2%</f>
        <v>3.2000000000000001E-2</v>
      </c>
      <c r="K149" s="36">
        <f t="shared" si="194"/>
        <v>3.2000000000000001E-2</v>
      </c>
      <c r="L149" s="36">
        <f t="shared" ref="L149:M149" si="195">L147-2%</f>
        <v>3.2000000000000001E-2</v>
      </c>
      <c r="M149" s="36">
        <f t="shared" si="195"/>
        <v>3.2000000000000001E-2</v>
      </c>
      <c r="N149" s="36">
        <f t="shared" ref="N149" si="196">N147-2%</f>
        <v>3.2000000000000001E-2</v>
      </c>
    </row>
    <row r="150" spans="4:14" x14ac:dyDescent="0.25">
      <c r="H150" s="8"/>
      <c r="I150" s="8"/>
    </row>
    <row r="151" spans="4:14" x14ac:dyDescent="0.25">
      <c r="H151" s="8"/>
      <c r="I151" s="8"/>
    </row>
    <row r="152" spans="4:14" x14ac:dyDescent="0.25">
      <c r="H152" s="8"/>
      <c r="I152" s="8"/>
    </row>
    <row r="153" spans="4:14" x14ac:dyDescent="0.25">
      <c r="D153" s="17" t="s">
        <v>126</v>
      </c>
      <c r="E153" s="17"/>
      <c r="F153" s="60">
        <v>44561</v>
      </c>
      <c r="G153" s="60">
        <f>EOMONTH(F153,12)</f>
        <v>44926</v>
      </c>
      <c r="H153" s="60">
        <f t="shared" ref="H153:N153" si="197">EOMONTH(G153,12)</f>
        <v>45291</v>
      </c>
      <c r="I153" s="61">
        <f t="shared" si="197"/>
        <v>45657</v>
      </c>
      <c r="J153" s="61">
        <f t="shared" si="197"/>
        <v>46022</v>
      </c>
      <c r="K153" s="61">
        <f t="shared" si="197"/>
        <v>46387</v>
      </c>
      <c r="L153" s="61">
        <f t="shared" si="197"/>
        <v>46752</v>
      </c>
      <c r="M153" s="61">
        <f t="shared" si="197"/>
        <v>47118</v>
      </c>
      <c r="N153" s="61">
        <f t="shared" si="197"/>
        <v>47483</v>
      </c>
    </row>
    <row r="154" spans="4:14" x14ac:dyDescent="0.25">
      <c r="D154" s="1" t="s">
        <v>127</v>
      </c>
      <c r="F154" s="33">
        <f>'MTD Historicals'!F16</f>
        <v>43242</v>
      </c>
      <c r="G154" s="33">
        <f>'MTD Historicals'!G16</f>
        <v>55392</v>
      </c>
      <c r="H154" s="34">
        <f>'MTD Historicals'!H16</f>
        <v>77366</v>
      </c>
      <c r="I154" s="33">
        <f t="shared" ref="I154:N154" ca="1" si="198">I155*I49</f>
        <v>71409.86265000001</v>
      </c>
      <c r="J154" s="33">
        <f t="shared" ca="1" si="198"/>
        <v>77578.034137625014</v>
      </c>
      <c r="K154" s="33">
        <f t="shared" ca="1" si="198"/>
        <v>83961.99473305876</v>
      </c>
      <c r="L154" s="33">
        <f t="shared" ca="1" si="198"/>
        <v>90872.315111891978</v>
      </c>
      <c r="M154" s="33">
        <f t="shared" ca="1" si="198"/>
        <v>97707.529626787</v>
      </c>
      <c r="N154" s="33">
        <f t="shared" ca="1" si="198"/>
        <v>105131.07424193647</v>
      </c>
    </row>
    <row r="155" spans="4:14" x14ac:dyDescent="0.25">
      <c r="D155" s="28" t="s">
        <v>108</v>
      </c>
      <c r="F155" s="31">
        <f>F154/F27</f>
        <v>1.1630665450936408E-2</v>
      </c>
      <c r="G155" s="31">
        <f>G154/G27</f>
        <v>1.4131661304448876E-2</v>
      </c>
      <c r="H155" s="32">
        <f>H154/H27</f>
        <v>2.0422304516342252E-2</v>
      </c>
      <c r="I155" s="44">
        <f ca="1">OFFSET(I155,$F$5,)</f>
        <v>1.7500000000000002E-2</v>
      </c>
      <c r="J155" s="46">
        <f t="shared" ref="J155:N155" ca="1" si="199">OFFSET(J155,$F$5,)</f>
        <v>1.7500000000000002E-2</v>
      </c>
      <c r="K155" s="46">
        <f t="shared" ca="1" si="199"/>
        <v>1.7500000000000002E-2</v>
      </c>
      <c r="L155" s="46">
        <f t="shared" ca="1" si="199"/>
        <v>1.7500000000000002E-2</v>
      </c>
      <c r="M155" s="46">
        <f t="shared" ca="1" si="199"/>
        <v>1.7500000000000002E-2</v>
      </c>
      <c r="N155" s="46">
        <f t="shared" ca="1" si="199"/>
        <v>1.7500000000000002E-2</v>
      </c>
    </row>
    <row r="156" spans="4:14" x14ac:dyDescent="0.25">
      <c r="D156" s="25" t="s">
        <v>103</v>
      </c>
      <c r="H156" s="7"/>
      <c r="I156" s="36">
        <v>1.7500000000000002E-2</v>
      </c>
      <c r="J156" s="36">
        <v>1.7500000000000002E-2</v>
      </c>
      <c r="K156" s="36">
        <v>1.7500000000000002E-2</v>
      </c>
      <c r="L156" s="36">
        <v>1.7500000000000002E-2</v>
      </c>
      <c r="M156" s="36">
        <v>1.7500000000000002E-2</v>
      </c>
      <c r="N156" s="36">
        <v>1.7500000000000002E-2</v>
      </c>
    </row>
    <row r="157" spans="4:14" x14ac:dyDescent="0.25">
      <c r="D157" s="25" t="s">
        <v>104</v>
      </c>
      <c r="H157" s="7"/>
      <c r="I157" s="36">
        <f>I156-1%</f>
        <v>7.5000000000000015E-3</v>
      </c>
      <c r="J157" s="36">
        <f t="shared" ref="J157:N157" si="200">J156-1%</f>
        <v>7.5000000000000015E-3</v>
      </c>
      <c r="K157" s="36">
        <f t="shared" si="200"/>
        <v>7.5000000000000015E-3</v>
      </c>
      <c r="L157" s="36">
        <f t="shared" si="200"/>
        <v>7.5000000000000015E-3</v>
      </c>
      <c r="M157" s="36">
        <f t="shared" si="200"/>
        <v>7.5000000000000015E-3</v>
      </c>
      <c r="N157" s="36">
        <f t="shared" si="200"/>
        <v>7.5000000000000015E-3</v>
      </c>
    </row>
    <row r="158" spans="4:14" x14ac:dyDescent="0.25">
      <c r="D158" s="25" t="s">
        <v>105</v>
      </c>
      <c r="H158" s="7"/>
      <c r="I158" s="145">
        <f>I156+2%</f>
        <v>3.7500000000000006E-2</v>
      </c>
      <c r="J158" s="145">
        <f t="shared" ref="J158:N158" si="201">J156+2%</f>
        <v>3.7500000000000006E-2</v>
      </c>
      <c r="K158" s="145">
        <f t="shared" si="201"/>
        <v>3.7500000000000006E-2</v>
      </c>
      <c r="L158" s="145">
        <f t="shared" si="201"/>
        <v>3.7500000000000006E-2</v>
      </c>
      <c r="M158" s="145">
        <f t="shared" si="201"/>
        <v>3.7500000000000006E-2</v>
      </c>
      <c r="N158" s="145">
        <f t="shared" si="201"/>
        <v>3.7500000000000006E-2</v>
      </c>
    </row>
    <row r="159" spans="4:14" x14ac:dyDescent="0.25">
      <c r="H159" s="8"/>
      <c r="I159" s="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79CD-91C6-42FB-B46F-97CAD25A948B}">
  <dimension ref="B2:Y55"/>
  <sheetViews>
    <sheetView showGridLines="0" tabSelected="1" topLeftCell="G10" workbookViewId="0">
      <selection activeCell="W26" sqref="W26:Y32"/>
    </sheetView>
  </sheetViews>
  <sheetFormatPr defaultRowHeight="15" x14ac:dyDescent="0.25"/>
  <cols>
    <col min="1" max="1" width="9.140625" style="1"/>
    <col min="2" max="2" width="31.28515625" style="1" customWidth="1"/>
    <col min="3" max="3" width="21.7109375" style="1" bestFit="1" customWidth="1"/>
    <col min="4" max="4" width="11.42578125" style="1" customWidth="1"/>
    <col min="5" max="8" width="9.42578125" style="1" bestFit="1" customWidth="1"/>
    <col min="9" max="14" width="9.85546875" style="1" customWidth="1"/>
    <col min="15" max="15" width="10" style="1" customWidth="1"/>
    <col min="16" max="16" width="9.140625" style="1"/>
    <col min="17" max="17" width="20.7109375" style="1" customWidth="1"/>
    <col min="18" max="18" width="23.28515625" style="1" customWidth="1"/>
    <col min="19" max="19" width="5.85546875" style="1" customWidth="1"/>
    <col min="20" max="21" width="20.7109375" style="1" customWidth="1"/>
    <col min="22" max="22" width="9.140625" style="1"/>
    <col min="23" max="23" width="11.5703125" style="1" customWidth="1"/>
    <col min="24" max="24" width="17.5703125" style="1" customWidth="1"/>
    <col min="25" max="16384" width="9.140625" style="1"/>
  </cols>
  <sheetData>
    <row r="2" spans="2:21" x14ac:dyDescent="0.25">
      <c r="B2" s="56" t="s">
        <v>140</v>
      </c>
    </row>
    <row r="3" spans="2:21" x14ac:dyDescent="0.25">
      <c r="B3" s="52" t="s">
        <v>141</v>
      </c>
    </row>
    <row r="4" spans="2:21" x14ac:dyDescent="0.25">
      <c r="B4" s="1" t="s">
        <v>142</v>
      </c>
      <c r="C4" s="1" t="str">
        <f ca="1">'MTD Master'!F11</f>
        <v>Base</v>
      </c>
      <c r="D4" s="1">
        <f>'MTD Master'!E11</f>
        <v>1</v>
      </c>
    </row>
    <row r="6" spans="2:21" x14ac:dyDescent="0.25">
      <c r="B6" s="147" t="s">
        <v>143</v>
      </c>
      <c r="C6" s="149"/>
    </row>
    <row r="7" spans="2:21" x14ac:dyDescent="0.25">
      <c r="B7" s="40" t="s">
        <v>144</v>
      </c>
      <c r="C7" s="64">
        <v>0.19</v>
      </c>
    </row>
    <row r="8" spans="2:21" x14ac:dyDescent="0.25">
      <c r="B8" s="40" t="s">
        <v>145</v>
      </c>
      <c r="C8" s="7">
        <f>Comps!F15</f>
        <v>24.89</v>
      </c>
    </row>
    <row r="9" spans="2:21" x14ac:dyDescent="0.25">
      <c r="B9" s="40" t="s">
        <v>146</v>
      </c>
      <c r="C9" s="66">
        <v>0.03</v>
      </c>
    </row>
    <row r="10" spans="2:21" x14ac:dyDescent="0.25">
      <c r="B10" s="40" t="s">
        <v>147</v>
      </c>
      <c r="C10" s="7">
        <f>21478605/1000</f>
        <v>21478.605</v>
      </c>
    </row>
    <row r="11" spans="2:21" x14ac:dyDescent="0.25">
      <c r="B11" s="40" t="s">
        <v>148</v>
      </c>
      <c r="C11" s="6">
        <f>'MTD Historicals'!H51</f>
        <v>1888620</v>
      </c>
    </row>
    <row r="12" spans="2:21" x14ac:dyDescent="0.25">
      <c r="B12" s="59" t="s">
        <v>149</v>
      </c>
      <c r="C12" s="67">
        <f>'MTD Historicals'!H32</f>
        <v>69807</v>
      </c>
    </row>
    <row r="15" spans="2:21" x14ac:dyDescent="0.25">
      <c r="B15" s="78" t="s">
        <v>150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Q15" s="150" t="s">
        <v>172</v>
      </c>
      <c r="R15" s="150"/>
      <c r="T15" s="150" t="s">
        <v>207</v>
      </c>
      <c r="U15" s="150"/>
    </row>
    <row r="16" spans="2:21" x14ac:dyDescent="0.25">
      <c r="B16" s="81"/>
      <c r="C16" s="82"/>
      <c r="D16" s="68">
        <v>45657</v>
      </c>
      <c r="E16" s="68">
        <f>+EOMONTH(D16,12)</f>
        <v>46022</v>
      </c>
      <c r="F16" s="68">
        <f>+EOMONTH(E16,12)</f>
        <v>46387</v>
      </c>
      <c r="G16" s="68">
        <f>+EOMONTH(F16,12)</f>
        <v>46752</v>
      </c>
      <c r="H16" s="68">
        <f>+EOMONTH(G16,12)</f>
        <v>47118</v>
      </c>
      <c r="I16" s="68">
        <f>+EOMONTH(H16,12)</f>
        <v>47483</v>
      </c>
      <c r="J16" s="68">
        <f t="shared" ref="J16:N16" si="0">+EOMONTH(I16,12)</f>
        <v>47848</v>
      </c>
      <c r="K16" s="68">
        <f t="shared" si="0"/>
        <v>48213</v>
      </c>
      <c r="L16" s="68">
        <f t="shared" si="0"/>
        <v>48579</v>
      </c>
      <c r="M16" s="68">
        <f t="shared" si="0"/>
        <v>48944</v>
      </c>
      <c r="N16" s="68">
        <f t="shared" si="0"/>
        <v>49309</v>
      </c>
      <c r="O16" s="83">
        <f t="shared" ref="O16" si="1">+EOMONTH(N16,12)</f>
        <v>49674</v>
      </c>
    </row>
    <row r="17" spans="2:25" x14ac:dyDescent="0.25">
      <c r="B17" s="84" t="s">
        <v>151</v>
      </c>
      <c r="C17" s="85"/>
      <c r="D17" s="15">
        <f>Assumptions!I49</f>
        <v>4080563.58</v>
      </c>
      <c r="E17" s="15">
        <f>Assumptions!J49</f>
        <v>4433030.5221500006</v>
      </c>
      <c r="F17" s="15">
        <f>Assumptions!K49</f>
        <v>4797828.2704605004</v>
      </c>
      <c r="G17" s="15">
        <f>Assumptions!L49</f>
        <v>5192703.7206795411</v>
      </c>
      <c r="H17" s="15">
        <f>Assumptions!M49</f>
        <v>5583287.407244971</v>
      </c>
      <c r="I17" s="15">
        <f>Assumptions!N49</f>
        <v>6007489.9566820832</v>
      </c>
      <c r="J17" s="41"/>
      <c r="K17" s="15"/>
      <c r="L17" s="15"/>
      <c r="M17" s="15"/>
      <c r="N17" s="15"/>
      <c r="O17" s="19"/>
      <c r="Q17" s="147" t="s">
        <v>173</v>
      </c>
      <c r="R17" s="149"/>
      <c r="T17" s="147" t="s">
        <v>173</v>
      </c>
      <c r="U17" s="149"/>
    </row>
    <row r="18" spans="2:25" x14ac:dyDescent="0.25">
      <c r="B18" s="86" t="s">
        <v>152</v>
      </c>
      <c r="C18" s="87"/>
      <c r="D18" s="88">
        <f>Assumptions!I27/Assumptions!H27-1</f>
        <v>7.6038105656112132E-2</v>
      </c>
      <c r="E18" s="88">
        <f>Assumptions!J27/Assumptions!I27-1</f>
        <v>7.9309683256909125E-2</v>
      </c>
      <c r="F18" s="88">
        <f>Assumptions!K27/Assumptions!J27-1</f>
        <v>8.7994840576050892E-2</v>
      </c>
      <c r="G18" s="88">
        <f>Assumptions!L27/Assumptions!K27-1</f>
        <v>9.3645272132325097E-2</v>
      </c>
      <c r="H18" s="88">
        <f>Assumptions!M27/Assumptions!L27-1</f>
        <v>9.4123949039727872E-2</v>
      </c>
      <c r="I18" s="88">
        <f>Assumptions!N27/Assumptions!M27-1</f>
        <v>9.4612220939520375E-2</v>
      </c>
      <c r="J18" s="126"/>
      <c r="K18" s="88"/>
      <c r="L18" s="88"/>
      <c r="M18" s="88"/>
      <c r="N18" s="88"/>
      <c r="O18" s="89"/>
      <c r="Q18" s="40" t="s">
        <v>209</v>
      </c>
      <c r="R18" s="51">
        <f ca="1">O34</f>
        <v>3328244.0516996048</v>
      </c>
      <c r="T18" s="40" t="s">
        <v>202</v>
      </c>
      <c r="U18" s="51">
        <f ca="1">I32</f>
        <v>1878707.0000409826</v>
      </c>
    </row>
    <row r="19" spans="2:25" x14ac:dyDescent="0.25">
      <c r="B19" s="90" t="s">
        <v>153</v>
      </c>
      <c r="C19" s="8"/>
      <c r="D19" s="10">
        <f ca="1">'MTD Historicals'!I10+'MTD Historicals'!I11</f>
        <v>1530211.3425000003</v>
      </c>
      <c r="E19" s="10">
        <f ca="1">'MTD Historicals'!J10+'MTD Historicals'!J11</f>
        <v>1462900.0723095003</v>
      </c>
      <c r="F19" s="10">
        <f ca="1">'MTD Historicals'!K10+'MTD Historicals'!K11</f>
        <v>1487326.763842755</v>
      </c>
      <c r="G19" s="10">
        <f ca="1">'MTD Historicals'!L10+'MTD Historicals'!L11</f>
        <v>1609738.1534106578</v>
      </c>
      <c r="H19" s="10">
        <f ca="1">'MTD Historicals'!M10+'MTD Historicals'!M11</f>
        <v>1674986.2221734915</v>
      </c>
      <c r="I19" s="10">
        <f ca="1">'MTD Historicals'!N10+'MTD Historicals'!N11</f>
        <v>1802246.9870046251</v>
      </c>
      <c r="J19" s="72"/>
      <c r="K19" s="10"/>
      <c r="L19" s="10"/>
      <c r="M19" s="10"/>
      <c r="N19" s="10"/>
      <c r="O19" s="6"/>
      <c r="Q19" s="40" t="s">
        <v>174</v>
      </c>
      <c r="R19" s="99">
        <f>C9</f>
        <v>0.03</v>
      </c>
      <c r="T19" s="40" t="s">
        <v>200</v>
      </c>
      <c r="U19" s="111">
        <f>C8</f>
        <v>24.89</v>
      </c>
    </row>
    <row r="20" spans="2:25" x14ac:dyDescent="0.25">
      <c r="B20" s="90" t="s">
        <v>154</v>
      </c>
      <c r="C20" s="8"/>
      <c r="D20" s="10">
        <f ca="1">SUM('MTD Historicals'!I13:I18)</f>
        <v>1240695.356499</v>
      </c>
      <c r="E20" s="10">
        <f ca="1">SUM('MTD Historicals'!J13:J18)</f>
        <v>1225732.9393744753</v>
      </c>
      <c r="F20" s="10">
        <f ca="1">SUM('MTD Historicals'!K13:K18)</f>
        <v>1307408.2037004866</v>
      </c>
      <c r="G20" s="10">
        <f ca="1">SUM('MTD Historicals'!L13:L18)</f>
        <v>1347506.6155163408</v>
      </c>
      <c r="H20" s="10">
        <f ca="1">SUM('MTD Historicals'!M13:M18)</f>
        <v>1437696.5073655802</v>
      </c>
      <c r="I20" s="10">
        <f ca="1">SUM('MTD Historicals'!N13:N18)</f>
        <v>1534913.6839322723</v>
      </c>
      <c r="J20" s="72"/>
      <c r="K20" s="10"/>
      <c r="L20" s="10"/>
      <c r="M20" s="10"/>
      <c r="N20" s="10"/>
      <c r="O20" s="6"/>
      <c r="Q20" s="97" t="s">
        <v>173</v>
      </c>
      <c r="R20" s="112">
        <f ca="1">R18/(C55-R19)</f>
        <v>47545758.92615144</v>
      </c>
      <c r="T20" s="97" t="s">
        <v>173</v>
      </c>
      <c r="U20" s="112">
        <f ca="1">U18*U19</f>
        <v>46761017.231020056</v>
      </c>
    </row>
    <row r="21" spans="2:25" x14ac:dyDescent="0.25">
      <c r="B21" s="90" t="s">
        <v>155</v>
      </c>
      <c r="C21" s="8"/>
      <c r="D21" s="10">
        <f ca="1">Assumptions!I99+Assumptions!I86</f>
        <v>113888.52951779999</v>
      </c>
      <c r="E21" s="10">
        <f ca="1">Assumptions!J99+Assumptions!J86</f>
        <v>118583.56646751253</v>
      </c>
      <c r="F21" s="10">
        <f ca="1">Assumptions!K99+Assumptions!K86</f>
        <v>125942.99209958813</v>
      </c>
      <c r="G21" s="10">
        <f ca="1">Assumptions!L99+Assumptions!L86</f>
        <v>133037.06932380985</v>
      </c>
      <c r="H21" s="10">
        <f ca="1">Assumptions!M99+Assumptions!M86</f>
        <v>134361.81145535022</v>
      </c>
      <c r="I21" s="10">
        <f ca="1">Assumptions!N99+Assumptions!N86</f>
        <v>133005.82764094131</v>
      </c>
      <c r="J21" s="72"/>
      <c r="K21" s="10"/>
      <c r="L21" s="10"/>
      <c r="M21" s="10"/>
      <c r="N21" s="10"/>
      <c r="O21" s="6"/>
      <c r="Q21" s="40" t="s">
        <v>175</v>
      </c>
      <c r="R21" s="104">
        <f ca="1">N35</f>
        <v>10.75</v>
      </c>
      <c r="T21" s="40" t="s">
        <v>175</v>
      </c>
      <c r="U21" s="104">
        <f ca="1">H35</f>
        <v>4.75</v>
      </c>
    </row>
    <row r="22" spans="2:25" x14ac:dyDescent="0.25">
      <c r="B22" s="84" t="s">
        <v>156</v>
      </c>
      <c r="C22" s="85"/>
      <c r="D22" s="15">
        <f ca="1">D17-D19-D20-D21</f>
        <v>1195768.3514831997</v>
      </c>
      <c r="E22" s="15">
        <f t="shared" ref="E22:H22" ca="1" si="2">E17-E19-E20-E21</f>
        <v>1625813.9439985121</v>
      </c>
      <c r="F22" s="15">
        <f t="shared" ca="1" si="2"/>
        <v>1877150.3108176708</v>
      </c>
      <c r="G22" s="15">
        <f t="shared" ca="1" si="2"/>
        <v>2102421.8824287327</v>
      </c>
      <c r="H22" s="15">
        <f t="shared" ca="1" si="2"/>
        <v>2336242.866250549</v>
      </c>
      <c r="I22" s="15">
        <f t="shared" ref="I22" ca="1" si="3">I17-I19-I20-I21</f>
        <v>2537323.458104244</v>
      </c>
      <c r="J22" s="41"/>
      <c r="K22" s="15"/>
      <c r="L22" s="15"/>
      <c r="M22" s="15"/>
      <c r="N22" s="15"/>
      <c r="O22" s="19"/>
      <c r="Q22" s="97" t="s">
        <v>176</v>
      </c>
      <c r="R22" s="112">
        <f ca="1">R20/(1+C55)^R21</f>
        <v>17066197.418415252</v>
      </c>
      <c r="T22" s="98" t="s">
        <v>176</v>
      </c>
      <c r="U22" s="115">
        <f ca="1">U20/((1+C55)^U21)</f>
        <v>29734941.017561417</v>
      </c>
    </row>
    <row r="23" spans="2:25" x14ac:dyDescent="0.25">
      <c r="B23" s="91" t="s">
        <v>157</v>
      </c>
      <c r="C23" s="8"/>
      <c r="D23" s="88">
        <f ca="1">D22/D17</f>
        <v>0.29303999999999991</v>
      </c>
      <c r="E23" s="88">
        <f t="shared" ref="E23:H23" ca="1" si="4">E22/E17</f>
        <v>0.36674999999999985</v>
      </c>
      <c r="F23" s="88">
        <f t="shared" ca="1" si="4"/>
        <v>0.39124999999999999</v>
      </c>
      <c r="G23" s="88">
        <f t="shared" ca="1" si="4"/>
        <v>0.40488000000000002</v>
      </c>
      <c r="H23" s="88">
        <f t="shared" ca="1" si="4"/>
        <v>0.41843499999999989</v>
      </c>
      <c r="I23" s="88">
        <f t="shared" ref="I23" ca="1" si="5">I22/I17</f>
        <v>0.4223599999999999</v>
      </c>
      <c r="J23" s="126"/>
      <c r="K23" s="88"/>
      <c r="L23" s="88"/>
      <c r="M23" s="88"/>
      <c r="N23" s="88"/>
      <c r="O23" s="89"/>
      <c r="Q23" s="59" t="s">
        <v>177</v>
      </c>
      <c r="R23" s="110">
        <f ca="1">R22/I22</f>
        <v>6.7260629952029163</v>
      </c>
    </row>
    <row r="24" spans="2:25" x14ac:dyDescent="0.25">
      <c r="B24" s="40" t="s">
        <v>158</v>
      </c>
      <c r="C24" s="8"/>
      <c r="D24" s="92">
        <f ca="1">-D21</f>
        <v>-113888.52951779999</v>
      </c>
      <c r="E24" s="92">
        <f t="shared" ref="E24:H24" ca="1" si="6">-E21</f>
        <v>-118583.56646751253</v>
      </c>
      <c r="F24" s="92">
        <f t="shared" ca="1" si="6"/>
        <v>-125942.99209958813</v>
      </c>
      <c r="G24" s="92">
        <f t="shared" ca="1" si="6"/>
        <v>-133037.06932380985</v>
      </c>
      <c r="H24" s="92">
        <f t="shared" ca="1" si="6"/>
        <v>-134361.81145535022</v>
      </c>
      <c r="I24" s="92">
        <f t="shared" ref="I24" ca="1" si="7">-I21</f>
        <v>-133005.82764094131</v>
      </c>
      <c r="J24" s="127"/>
      <c r="K24" s="92"/>
      <c r="L24" s="92"/>
      <c r="M24" s="92"/>
      <c r="N24" s="92"/>
      <c r="O24" s="51"/>
    </row>
    <row r="25" spans="2:25" x14ac:dyDescent="0.25">
      <c r="B25" s="84" t="s">
        <v>159</v>
      </c>
      <c r="C25" s="85"/>
      <c r="D25" s="15">
        <f ca="1">D22+D24</f>
        <v>1081879.8219653997</v>
      </c>
      <c r="E25" s="15">
        <f t="shared" ref="E25:H25" ca="1" si="8">E22+E24</f>
        <v>1507230.3775309995</v>
      </c>
      <c r="F25" s="15">
        <f t="shared" ca="1" si="8"/>
        <v>1751207.3187180827</v>
      </c>
      <c r="G25" s="15">
        <f t="shared" ca="1" si="8"/>
        <v>1969384.8131049229</v>
      </c>
      <c r="H25" s="15">
        <f t="shared" ca="1" si="8"/>
        <v>2201881.0547951986</v>
      </c>
      <c r="I25" s="15">
        <f t="shared" ref="I25" ca="1" si="9">I22+I24</f>
        <v>2404317.6304633026</v>
      </c>
      <c r="J25" s="41"/>
      <c r="K25" s="15"/>
      <c r="L25" s="15"/>
      <c r="M25" s="15"/>
      <c r="N25" s="15"/>
      <c r="O25" s="19"/>
    </row>
    <row r="26" spans="2:25" x14ac:dyDescent="0.25">
      <c r="B26" s="40" t="s">
        <v>157</v>
      </c>
      <c r="C26" s="8"/>
      <c r="D26" s="88">
        <f ca="1">D25/D17</f>
        <v>0.26512999999999992</v>
      </c>
      <c r="E26" s="88">
        <f t="shared" ref="E26:H26" ca="1" si="10">E25/E17</f>
        <v>0.33999999999999986</v>
      </c>
      <c r="F26" s="88">
        <f t="shared" ca="1" si="10"/>
        <v>0.36500000000000005</v>
      </c>
      <c r="G26" s="88">
        <f t="shared" ca="1" si="10"/>
        <v>0.37926000000000004</v>
      </c>
      <c r="H26" s="88">
        <f t="shared" ca="1" si="10"/>
        <v>0.39436999999999989</v>
      </c>
      <c r="I26" s="88">
        <f t="shared" ref="I26" ca="1" si="11">I25/I17</f>
        <v>0.40021999999999985</v>
      </c>
      <c r="J26" s="126"/>
      <c r="K26" s="88"/>
      <c r="L26" s="88"/>
      <c r="M26" s="88"/>
      <c r="N26" s="88"/>
      <c r="O26" s="89"/>
      <c r="Q26" s="147" t="s">
        <v>178</v>
      </c>
      <c r="R26" s="149"/>
      <c r="T26" s="147" t="s">
        <v>178</v>
      </c>
      <c r="U26" s="149"/>
      <c r="W26" s="147" t="s">
        <v>203</v>
      </c>
      <c r="X26" s="148"/>
      <c r="Y26" s="149"/>
    </row>
    <row r="27" spans="2:25" x14ac:dyDescent="0.25">
      <c r="B27" s="40" t="s">
        <v>160</v>
      </c>
      <c r="C27" s="8"/>
      <c r="D27" s="10">
        <f ca="1">'MTD Historicals'!I20</f>
        <v>248834.80739018996</v>
      </c>
      <c r="E27" s="10">
        <f ca="1">'MTD Historicals'!J20</f>
        <v>331435.52698854473</v>
      </c>
      <c r="F27" s="10">
        <f ca="1">'MTD Historicals'!K20</f>
        <v>380587.7275542792</v>
      </c>
      <c r="G27" s="10">
        <f ca="1">'MTD Historicals'!L20</f>
        <v>424737.20083298307</v>
      </c>
      <c r="H27" s="10">
        <f ca="1">'MTD Historicals'!M20</f>
        <v>469414.88876412087</v>
      </c>
      <c r="I27" s="10">
        <f ca="1">'MTD Historicals'!N20</f>
        <v>507362.56429158541</v>
      </c>
      <c r="J27" s="72"/>
      <c r="K27" s="10"/>
      <c r="L27" s="10"/>
      <c r="M27" s="10"/>
      <c r="N27" s="10"/>
      <c r="O27" s="6"/>
      <c r="Q27" s="40" t="s">
        <v>179</v>
      </c>
      <c r="R27" s="6">
        <f ca="1">SUM(D37:N37)</f>
        <v>11585741.366748175</v>
      </c>
      <c r="T27" s="40" t="s">
        <v>179</v>
      </c>
      <c r="U27" s="6">
        <f ca="1">SUM(D37:I37)</f>
        <v>6155512.3694923958</v>
      </c>
      <c r="W27" s="97" t="s">
        <v>204</v>
      </c>
      <c r="X27" s="8"/>
      <c r="Y27" s="113">
        <f ca="1">U41</f>
        <v>1586.306018805868</v>
      </c>
    </row>
    <row r="28" spans="2:25" x14ac:dyDescent="0.25">
      <c r="B28" s="84" t="s">
        <v>161</v>
      </c>
      <c r="C28" s="85"/>
      <c r="D28" s="15">
        <f ca="1">D25-D27</f>
        <v>833045.0145752097</v>
      </c>
      <c r="E28" s="15">
        <f t="shared" ref="E28:H28" ca="1" si="12">E25-E27</f>
        <v>1175794.8505424547</v>
      </c>
      <c r="F28" s="15">
        <f t="shared" ca="1" si="12"/>
        <v>1370619.5911638036</v>
      </c>
      <c r="G28" s="15">
        <f t="shared" ca="1" si="12"/>
        <v>1544647.6122719399</v>
      </c>
      <c r="H28" s="15">
        <f t="shared" ca="1" si="12"/>
        <v>1732466.1660310777</v>
      </c>
      <c r="I28" s="15">
        <f t="shared" ref="I28" ca="1" si="13">I25-I27</f>
        <v>1896955.0661717171</v>
      </c>
      <c r="J28" s="41"/>
      <c r="K28" s="15"/>
      <c r="L28" s="15"/>
      <c r="M28" s="15"/>
      <c r="N28" s="15"/>
      <c r="O28" s="19"/>
      <c r="Q28" s="40" t="s">
        <v>176</v>
      </c>
      <c r="R28" s="67">
        <f ca="1">R22</f>
        <v>17066197.418415252</v>
      </c>
      <c r="T28" s="40" t="s">
        <v>176</v>
      </c>
      <c r="U28" s="67">
        <f ca="1">U22</f>
        <v>29734941.017561417</v>
      </c>
      <c r="W28" s="97" t="s">
        <v>172</v>
      </c>
      <c r="X28" s="8"/>
      <c r="Y28" s="113">
        <f ca="1">R41</f>
        <v>1249.2955564462136</v>
      </c>
    </row>
    <row r="29" spans="2:25" x14ac:dyDescent="0.25">
      <c r="B29" s="40" t="s">
        <v>155</v>
      </c>
      <c r="C29" s="8"/>
      <c r="D29" s="10">
        <f ca="1">D21</f>
        <v>113888.52951779999</v>
      </c>
      <c r="E29" s="92">
        <f t="shared" ref="E29:H29" ca="1" si="14">E21</f>
        <v>118583.56646751253</v>
      </c>
      <c r="F29" s="92">
        <f t="shared" ca="1" si="14"/>
        <v>125942.99209958813</v>
      </c>
      <c r="G29" s="92">
        <f t="shared" ca="1" si="14"/>
        <v>133037.06932380985</v>
      </c>
      <c r="H29" s="92">
        <f t="shared" ca="1" si="14"/>
        <v>134361.81145535022</v>
      </c>
      <c r="I29" s="92">
        <f t="shared" ref="I29" ca="1" si="15">I21</f>
        <v>133005.82764094131</v>
      </c>
      <c r="J29" s="127"/>
      <c r="K29" s="92"/>
      <c r="L29" s="92"/>
      <c r="M29" s="92"/>
      <c r="N29" s="92"/>
      <c r="O29" s="51"/>
      <c r="Q29" s="97" t="s">
        <v>180</v>
      </c>
      <c r="R29" s="112">
        <f ca="1">SUM(R27:R28)</f>
        <v>28651938.785163425</v>
      </c>
      <c r="T29" s="97" t="s">
        <v>180</v>
      </c>
      <c r="U29" s="112">
        <f ca="1">SUM(U27:U28)</f>
        <v>35890453.38705381</v>
      </c>
      <c r="W29" s="97" t="s">
        <v>205</v>
      </c>
      <c r="X29" s="8"/>
      <c r="Y29" s="64">
        <v>0.8</v>
      </c>
    </row>
    <row r="30" spans="2:25" x14ac:dyDescent="0.25">
      <c r="B30" s="40" t="s">
        <v>162</v>
      </c>
      <c r="C30" s="8"/>
      <c r="D30" s="92">
        <f ca="1">-Assumptions!I93</f>
        <v>-114255.78024000001</v>
      </c>
      <c r="E30" s="92">
        <f ca="1">-Assumptions!J93</f>
        <v>-110825.76305375002</v>
      </c>
      <c r="F30" s="92">
        <f ca="1">-Assumptions!K93</f>
        <v>-119945.70676151251</v>
      </c>
      <c r="G30" s="92">
        <f ca="1">-Assumptions!L93</f>
        <v>-135010.29673766808</v>
      </c>
      <c r="H30" s="92">
        <f ca="1">-Assumptions!M93</f>
        <v>-136790.5414775018</v>
      </c>
      <c r="I30" s="92">
        <f ca="1">-Assumptions!N93</f>
        <v>-132164.77904700581</v>
      </c>
      <c r="J30" s="127"/>
      <c r="K30" s="92"/>
      <c r="L30" s="92"/>
      <c r="M30" s="92"/>
      <c r="N30" s="92"/>
      <c r="O30" s="51"/>
      <c r="Q30" s="40" t="s">
        <v>181</v>
      </c>
      <c r="R30" s="66">
        <f ca="1">R27/R29</f>
        <v>0.40436151471702553</v>
      </c>
      <c r="T30" s="40" t="s">
        <v>181</v>
      </c>
      <c r="U30" s="66">
        <f ca="1">U27/U29</f>
        <v>0.17150834800300338</v>
      </c>
      <c r="W30" s="97" t="s">
        <v>206</v>
      </c>
      <c r="X30" s="8"/>
      <c r="Y30" s="64">
        <v>0.2</v>
      </c>
    </row>
    <row r="31" spans="2:25" x14ac:dyDescent="0.25">
      <c r="B31" s="40" t="s">
        <v>163</v>
      </c>
      <c r="C31" s="8"/>
      <c r="D31" s="92">
        <f ca="1">-'MTD Historicals'!I67</f>
        <v>187452.51484000008</v>
      </c>
      <c r="E31" s="92">
        <f ca="1">-'MTD Historicals'!J67</f>
        <v>15471.525957640028</v>
      </c>
      <c r="F31" s="92">
        <f ca="1">-'MTD Historicals'!K67</f>
        <v>40908.838917822344</v>
      </c>
      <c r="G31" s="92">
        <f ca="1">-'MTD Historicals'!L67</f>
        <v>53467.600764444796</v>
      </c>
      <c r="H31" s="92">
        <f ca="1">-'MTD Historicals'!M67</f>
        <v>55121.586194069125</v>
      </c>
      <c r="I31" s="92">
        <f ca="1">-'MTD Historicals'!N67</f>
        <v>-19089.114724670071</v>
      </c>
      <c r="J31" s="127"/>
      <c r="K31" s="92"/>
      <c r="L31" s="92"/>
      <c r="M31" s="92"/>
      <c r="N31" s="92"/>
      <c r="O31" s="51"/>
      <c r="Q31" s="40" t="s">
        <v>173</v>
      </c>
      <c r="R31" s="99">
        <f ca="1">R28/R29</f>
        <v>0.59563848528297458</v>
      </c>
      <c r="T31" s="40" t="s">
        <v>173</v>
      </c>
      <c r="U31" s="99">
        <f ca="1">U28/U29</f>
        <v>0.8284916519969967</v>
      </c>
      <c r="W31" s="84" t="s">
        <v>203</v>
      </c>
      <c r="X31" s="85"/>
      <c r="Y31" s="117">
        <f ca="1">Y30*Y28+Y29*Y27</f>
        <v>1518.9039263339373</v>
      </c>
    </row>
    <row r="32" spans="2:25" x14ac:dyDescent="0.25">
      <c r="B32" s="84" t="s">
        <v>164</v>
      </c>
      <c r="C32" s="85"/>
      <c r="D32" s="93">
        <f ca="1">SUM(D28:D31)</f>
        <v>1020130.2786930097</v>
      </c>
      <c r="E32" s="93">
        <f t="shared" ref="E32:H32" ca="1" si="16">SUM(E28:E31)</f>
        <v>1199024.1799138575</v>
      </c>
      <c r="F32" s="93">
        <f t="shared" ca="1" si="16"/>
        <v>1417525.7154197015</v>
      </c>
      <c r="G32" s="93">
        <f t="shared" ca="1" si="16"/>
        <v>1596141.9856225264</v>
      </c>
      <c r="H32" s="93">
        <f t="shared" ca="1" si="16"/>
        <v>1785159.0222029951</v>
      </c>
      <c r="I32" s="93">
        <f t="shared" ref="I32" ca="1" si="17">SUM(I28:I31)</f>
        <v>1878707.0000409826</v>
      </c>
      <c r="J32" s="128"/>
      <c r="K32" s="93"/>
      <c r="L32" s="93"/>
      <c r="M32" s="93"/>
      <c r="N32" s="93"/>
      <c r="O32" s="75"/>
      <c r="Q32" s="98" t="s">
        <v>180</v>
      </c>
      <c r="R32" s="99">
        <f ca="1">SUM(R30:R31)</f>
        <v>1</v>
      </c>
      <c r="T32" s="98" t="s">
        <v>180</v>
      </c>
      <c r="U32" s="99">
        <f ca="1">U30+U31</f>
        <v>1</v>
      </c>
      <c r="W32" s="98" t="s">
        <v>188</v>
      </c>
      <c r="X32" s="114"/>
      <c r="Y32" s="146">
        <f ca="1">(Y31/'MTD Master'!E8)-1</f>
        <v>0.13249621706974146</v>
      </c>
    </row>
    <row r="33" spans="2:21" x14ac:dyDescent="0.25">
      <c r="B33" s="40" t="s">
        <v>165</v>
      </c>
      <c r="C33" s="8"/>
      <c r="D33" s="10">
        <f ca="1">+(1-(YEARFRAC('MTD Master'!E7,DCF!D16)))*D32</f>
        <v>255032.56967325244</v>
      </c>
      <c r="E33" s="8"/>
      <c r="F33" s="8"/>
      <c r="G33" s="8"/>
      <c r="H33" s="8"/>
      <c r="I33" s="8"/>
      <c r="J33" s="40"/>
      <c r="K33" s="8"/>
      <c r="L33" s="8"/>
      <c r="M33" s="8"/>
      <c r="N33" s="8"/>
      <c r="O33" s="7"/>
    </row>
    <row r="34" spans="2:21" x14ac:dyDescent="0.25">
      <c r="B34" s="84" t="s">
        <v>166</v>
      </c>
      <c r="C34" s="85"/>
      <c r="D34" s="93">
        <f ca="1">D32-D33</f>
        <v>765097.70901975734</v>
      </c>
      <c r="E34" s="93">
        <f t="shared" ref="E34:H34" ca="1" si="18">E32-E33</f>
        <v>1199024.1799138575</v>
      </c>
      <c r="F34" s="93">
        <f t="shared" ca="1" si="18"/>
        <v>1417525.7154197015</v>
      </c>
      <c r="G34" s="93">
        <f t="shared" ca="1" si="18"/>
        <v>1596141.9856225264</v>
      </c>
      <c r="H34" s="93">
        <f t="shared" ca="1" si="18"/>
        <v>1785159.0222029951</v>
      </c>
      <c r="I34" s="93">
        <f t="shared" ref="I34" ca="1" si="19">I32-I33</f>
        <v>1878707.0000409826</v>
      </c>
      <c r="J34" s="128">
        <f ca="1">I34*(1+0.1)</f>
        <v>2066577.7000450811</v>
      </c>
      <c r="K34" s="93">
        <f t="shared" ref="K34:N34" ca="1" si="20">J34*(1+0.1)</f>
        <v>2273235.4700495894</v>
      </c>
      <c r="L34" s="93">
        <f t="shared" ca="1" si="20"/>
        <v>2500559.0170545485</v>
      </c>
      <c r="M34" s="93">
        <f t="shared" ca="1" si="20"/>
        <v>2750614.9187600035</v>
      </c>
      <c r="N34" s="93">
        <f t="shared" ca="1" si="20"/>
        <v>3025676.4106360041</v>
      </c>
      <c r="O34" s="75">
        <f t="shared" ref="O34" ca="1" si="21">N34*(1+0.1)</f>
        <v>3328244.0516996048</v>
      </c>
    </row>
    <row r="35" spans="2:21" x14ac:dyDescent="0.25">
      <c r="B35" s="40" t="s">
        <v>169</v>
      </c>
      <c r="C35" s="8"/>
      <c r="D35" s="103">
        <f ca="1">(YEARFRAC('MTD Master'!E7,DCF!D16))</f>
        <v>0.75</v>
      </c>
      <c r="E35" s="103">
        <f ca="1">1+D35</f>
        <v>1.75</v>
      </c>
      <c r="F35" s="103">
        <f t="shared" ref="F35:H35" ca="1" si="22">1+E35</f>
        <v>2.75</v>
      </c>
      <c r="G35" s="103">
        <f t="shared" ca="1" si="22"/>
        <v>3.75</v>
      </c>
      <c r="H35" s="103">
        <f t="shared" ca="1" si="22"/>
        <v>4.75</v>
      </c>
      <c r="I35" s="104">
        <f t="shared" ref="I35" ca="1" si="23">1+H35</f>
        <v>5.75</v>
      </c>
      <c r="J35" s="103">
        <f t="shared" ref="J35" ca="1" si="24">1+I35</f>
        <v>6.75</v>
      </c>
      <c r="K35" s="103">
        <f t="shared" ref="K35" ca="1" si="25">1+J35</f>
        <v>7.75</v>
      </c>
      <c r="L35" s="103">
        <f t="shared" ref="L35" ca="1" si="26">1+K35</f>
        <v>8.75</v>
      </c>
      <c r="M35" s="103">
        <f t="shared" ref="M35" ca="1" si="27">1+L35</f>
        <v>9.75</v>
      </c>
      <c r="N35" s="103">
        <f t="shared" ref="N35:O35" ca="1" si="28">1+M35</f>
        <v>10.75</v>
      </c>
      <c r="O35" s="104">
        <f t="shared" ca="1" si="28"/>
        <v>11.75</v>
      </c>
      <c r="Q35" s="147" t="s">
        <v>182</v>
      </c>
      <c r="R35" s="149"/>
      <c r="T35" s="151" t="s">
        <v>182</v>
      </c>
      <c r="U35" s="152"/>
    </row>
    <row r="36" spans="2:21" x14ac:dyDescent="0.25">
      <c r="B36" s="40" t="s">
        <v>167</v>
      </c>
      <c r="C36" s="8"/>
      <c r="D36" s="103">
        <f ca="1">1/(1+$C$55)^D35</f>
        <v>0.93101189820987573</v>
      </c>
      <c r="E36" s="103">
        <f t="shared" ref="E36:N36" ca="1" si="29">1/(1+$C$55)^E35</f>
        <v>0.84637379060052587</v>
      </c>
      <c r="F36" s="103">
        <f t="shared" ca="1" si="29"/>
        <v>0.76943011662136473</v>
      </c>
      <c r="G36" s="103">
        <f t="shared" ca="1" si="29"/>
        <v>0.69948137683222711</v>
      </c>
      <c r="H36" s="103">
        <f t="shared" ca="1" si="29"/>
        <v>0.63589166314876533</v>
      </c>
      <c r="I36" s="104">
        <f t="shared" ca="1" si="29"/>
        <v>0.57808287776486367</v>
      </c>
      <c r="J36" s="103">
        <f t="shared" ca="1" si="29"/>
        <v>0.52552947763167279</v>
      </c>
      <c r="K36" s="103">
        <f t="shared" ca="1" si="29"/>
        <v>0.47775369671501688</v>
      </c>
      <c r="L36" s="103">
        <f t="shared" ca="1" si="29"/>
        <v>0.43432120259643486</v>
      </c>
      <c r="M36" s="103">
        <f t="shared" ca="1" si="29"/>
        <v>0.39483714793176228</v>
      </c>
      <c r="N36" s="103">
        <f t="shared" ca="1" si="29"/>
        <v>0.35894258087083325</v>
      </c>
      <c r="O36" s="104">
        <f t="shared" ref="O36" ca="1" si="30">1/(1+$C$55)^O35</f>
        <v>0.32631118180521701</v>
      </c>
      <c r="Q36" s="97" t="s">
        <v>183</v>
      </c>
      <c r="R36" s="112">
        <f ca="1">R29</f>
        <v>28651938.785163425</v>
      </c>
      <c r="T36" s="97" t="s">
        <v>183</v>
      </c>
      <c r="U36" s="112">
        <f ca="1">U29</f>
        <v>35890453.38705381</v>
      </c>
    </row>
    <row r="37" spans="2:21" x14ac:dyDescent="0.25">
      <c r="B37" s="94" t="s">
        <v>168</v>
      </c>
      <c r="C37" s="95"/>
      <c r="D37" s="105">
        <f ca="1">D34*D36</f>
        <v>712315.07039051142</v>
      </c>
      <c r="E37" s="105">
        <f t="shared" ref="E37:M37" ca="1" si="31">E34*E36</f>
        <v>1014822.6401753784</v>
      </c>
      <c r="F37" s="105">
        <f t="shared" ca="1" si="31"/>
        <v>1090686.9765291645</v>
      </c>
      <c r="G37" s="105">
        <f t="shared" ca="1" si="31"/>
        <v>1116471.5937229695</v>
      </c>
      <c r="H37" s="105">
        <f t="shared" ca="1" si="31"/>
        <v>1135167.7396136862</v>
      </c>
      <c r="I37" s="106">
        <f t="shared" ca="1" si="31"/>
        <v>1086048.3490606851</v>
      </c>
      <c r="J37" s="105">
        <f t="shared" ca="1" si="31"/>
        <v>1086047.4991899552</v>
      </c>
      <c r="K37" s="105">
        <f t="shared" ca="1" si="31"/>
        <v>1086046.6493198904</v>
      </c>
      <c r="L37" s="105">
        <f t="shared" ca="1" si="31"/>
        <v>1086045.7994504906</v>
      </c>
      <c r="M37" s="105">
        <f t="shared" ca="1" si="31"/>
        <v>1086044.9495817558</v>
      </c>
      <c r="N37" s="105">
        <f ca="1">N34*N36</f>
        <v>1086044.0997136864</v>
      </c>
      <c r="O37" s="106">
        <f ca="1">O34*O36</f>
        <v>1086043.2498462819</v>
      </c>
      <c r="Q37" s="40" t="s">
        <v>184</v>
      </c>
      <c r="R37" s="51">
        <f>-C11</f>
        <v>-1888620</v>
      </c>
      <c r="T37" s="40" t="s">
        <v>184</v>
      </c>
      <c r="U37" s="51">
        <f>-C11</f>
        <v>-1888620</v>
      </c>
    </row>
    <row r="38" spans="2:21" x14ac:dyDescent="0.25">
      <c r="Q38" s="40" t="s">
        <v>185</v>
      </c>
      <c r="R38" s="6">
        <f>C12</f>
        <v>69807</v>
      </c>
      <c r="T38" s="40" t="s">
        <v>185</v>
      </c>
      <c r="U38" s="6">
        <f>C12</f>
        <v>69807</v>
      </c>
    </row>
    <row r="39" spans="2:21" x14ac:dyDescent="0.25">
      <c r="Q39" s="97" t="s">
        <v>186</v>
      </c>
      <c r="R39" s="112">
        <f ca="1">SUM(R36:R38)</f>
        <v>26833125.785163425</v>
      </c>
      <c r="T39" s="97" t="s">
        <v>186</v>
      </c>
      <c r="U39" s="112">
        <f ca="1">SUM(U36:U38)</f>
        <v>34071640.38705381</v>
      </c>
    </row>
    <row r="40" spans="2:21" x14ac:dyDescent="0.25">
      <c r="Q40" s="40" t="s">
        <v>201</v>
      </c>
      <c r="R40" s="7">
        <f>C10</f>
        <v>21478.605</v>
      </c>
      <c r="T40" s="40" t="s">
        <v>201</v>
      </c>
      <c r="U40" s="7">
        <f>C10</f>
        <v>21478.605</v>
      </c>
    </row>
    <row r="41" spans="2:21" x14ac:dyDescent="0.25">
      <c r="B41" s="147" t="s">
        <v>189</v>
      </c>
      <c r="C41" s="149"/>
      <c r="P41" s="56"/>
      <c r="Q41" s="84" t="s">
        <v>187</v>
      </c>
      <c r="R41" s="117">
        <f ca="1">R39/R40</f>
        <v>1249.2955564462136</v>
      </c>
      <c r="T41" s="84" t="s">
        <v>187</v>
      </c>
      <c r="U41" s="117">
        <f ca="1">U39/U40</f>
        <v>1586.306018805868</v>
      </c>
    </row>
    <row r="42" spans="2:21" x14ac:dyDescent="0.25">
      <c r="B42" s="40" t="s">
        <v>190</v>
      </c>
      <c r="C42" s="66">
        <v>4.9599999999999998E-2</v>
      </c>
      <c r="Q42" s="59" t="s">
        <v>188</v>
      </c>
      <c r="R42" s="121">
        <f ca="1">(R41/'MTD Master'!E8)-1</f>
        <v>-6.8524040824475385E-2</v>
      </c>
      <c r="T42" s="59" t="s">
        <v>188</v>
      </c>
      <c r="U42" s="121">
        <f ca="1">(U41/'MTD Master'!E8)-1</f>
        <v>0.18275128154329545</v>
      </c>
    </row>
    <row r="43" spans="2:21" x14ac:dyDescent="0.25">
      <c r="B43" s="40" t="s">
        <v>191</v>
      </c>
      <c r="C43" s="7">
        <v>1.23</v>
      </c>
    </row>
    <row r="44" spans="2:21" x14ac:dyDescent="0.25">
      <c r="B44" s="40" t="s">
        <v>192</v>
      </c>
      <c r="C44" s="66">
        <v>4.2999999999999997E-2</v>
      </c>
    </row>
    <row r="45" spans="2:21" x14ac:dyDescent="0.25">
      <c r="B45" s="101" t="s">
        <v>193</v>
      </c>
      <c r="C45" s="109">
        <f>C44+C43*C42</f>
        <v>0.10400799999999999</v>
      </c>
    </row>
    <row r="46" spans="2:21" x14ac:dyDescent="0.25">
      <c r="B46" s="40"/>
      <c r="C46" s="7"/>
    </row>
    <row r="47" spans="2:21" x14ac:dyDescent="0.25">
      <c r="B47" s="40" t="s">
        <v>194</v>
      </c>
      <c r="C47" s="66">
        <v>4.8000000000000001E-2</v>
      </c>
    </row>
    <row r="48" spans="2:21" x14ac:dyDescent="0.25">
      <c r="B48" s="40" t="s">
        <v>144</v>
      </c>
      <c r="C48" s="64">
        <v>0.19</v>
      </c>
    </row>
    <row r="49" spans="2:3" x14ac:dyDescent="0.25">
      <c r="B49" s="40" t="s">
        <v>195</v>
      </c>
      <c r="C49" s="107">
        <f>C47*(1-C48)</f>
        <v>3.8880000000000005E-2</v>
      </c>
    </row>
    <row r="50" spans="2:3" x14ac:dyDescent="0.25">
      <c r="B50" s="40"/>
      <c r="C50" s="7"/>
    </row>
    <row r="51" spans="2:3" x14ac:dyDescent="0.25">
      <c r="B51" s="40" t="s">
        <v>196</v>
      </c>
      <c r="C51" s="6">
        <f>('MTD Master'!E8*DCF!C10)</f>
        <v>28807105.026000001</v>
      </c>
    </row>
    <row r="52" spans="2:3" x14ac:dyDescent="0.25">
      <c r="B52" s="40" t="s">
        <v>148</v>
      </c>
      <c r="C52" s="6">
        <f>C11</f>
        <v>1888620</v>
      </c>
    </row>
    <row r="53" spans="2:3" x14ac:dyDescent="0.25">
      <c r="B53" s="40" t="s">
        <v>197</v>
      </c>
      <c r="C53" s="66">
        <f>C51/(C51+C52)</f>
        <v>0.9384728655732909</v>
      </c>
    </row>
    <row r="54" spans="2:3" x14ac:dyDescent="0.25">
      <c r="B54" s="40" t="s">
        <v>198</v>
      </c>
      <c r="C54" s="66">
        <f>C52/(C51+C52)</f>
        <v>6.1527134426709075E-2</v>
      </c>
    </row>
    <row r="55" spans="2:3" x14ac:dyDescent="0.25">
      <c r="B55" s="102" t="s">
        <v>199</v>
      </c>
      <c r="C55" s="108">
        <f>C45*C53+C54*C49</f>
        <v>0.10000086078905729</v>
      </c>
    </row>
  </sheetData>
  <mergeCells count="11">
    <mergeCell ref="W26:Y26"/>
    <mergeCell ref="B6:C6"/>
    <mergeCell ref="Q15:R15"/>
    <mergeCell ref="B41:C41"/>
    <mergeCell ref="T15:U15"/>
    <mergeCell ref="Q26:R26"/>
    <mergeCell ref="Q17:R17"/>
    <mergeCell ref="T17:U17"/>
    <mergeCell ref="T26:U26"/>
    <mergeCell ref="T35:U35"/>
    <mergeCell ref="Q35:R3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5305-E5CF-48B3-8151-F28F081099B9}">
  <dimension ref="B2:G21"/>
  <sheetViews>
    <sheetView showGridLines="0" workbookViewId="0">
      <selection activeCell="B6" sqref="B6"/>
    </sheetView>
  </sheetViews>
  <sheetFormatPr defaultRowHeight="15" x14ac:dyDescent="0.25"/>
  <cols>
    <col min="2" max="2" width="20.7109375" customWidth="1"/>
    <col min="3" max="3" width="21" customWidth="1"/>
    <col min="4" max="4" width="17.140625" customWidth="1"/>
    <col min="5" max="5" width="21.85546875" customWidth="1"/>
    <col min="6" max="6" width="32.7109375" customWidth="1"/>
  </cols>
  <sheetData>
    <row r="2" spans="2:7" x14ac:dyDescent="0.25">
      <c r="B2" s="56" t="s">
        <v>140</v>
      </c>
    </row>
    <row r="3" spans="2:7" x14ac:dyDescent="0.25">
      <c r="B3" s="52" t="s">
        <v>210</v>
      </c>
    </row>
    <row r="6" spans="2:7" x14ac:dyDescent="0.25">
      <c r="B6" s="52" t="s">
        <v>228</v>
      </c>
    </row>
    <row r="8" spans="2:7" x14ac:dyDescent="0.25">
      <c r="B8" s="129" t="s">
        <v>211</v>
      </c>
      <c r="C8" s="118" t="s">
        <v>212</v>
      </c>
      <c r="D8" s="118" t="s">
        <v>183</v>
      </c>
      <c r="E8" s="118" t="s">
        <v>220</v>
      </c>
      <c r="F8" s="119" t="s">
        <v>218</v>
      </c>
      <c r="G8" s="1"/>
    </row>
    <row r="9" spans="2:7" x14ac:dyDescent="0.25">
      <c r="B9" s="97" t="s">
        <v>213</v>
      </c>
      <c r="C9" s="130">
        <v>42.64</v>
      </c>
      <c r="D9" s="130">
        <v>43.62</v>
      </c>
      <c r="E9" s="131">
        <v>25.68</v>
      </c>
      <c r="F9" s="132">
        <v>21.31</v>
      </c>
      <c r="G9" s="1"/>
    </row>
    <row r="10" spans="2:7" x14ac:dyDescent="0.25">
      <c r="B10" s="97" t="s">
        <v>214</v>
      </c>
      <c r="C10" s="130">
        <v>20.38</v>
      </c>
      <c r="D10" s="130">
        <v>22.44</v>
      </c>
      <c r="E10" s="131">
        <v>28.93</v>
      </c>
      <c r="F10" s="132">
        <v>20.7</v>
      </c>
      <c r="G10" s="1"/>
    </row>
    <row r="11" spans="2:7" x14ac:dyDescent="0.25">
      <c r="B11" s="97" t="s">
        <v>216</v>
      </c>
      <c r="C11" s="130">
        <v>21.82</v>
      </c>
      <c r="D11" s="130">
        <v>23.03</v>
      </c>
      <c r="E11" s="131">
        <v>140.4</v>
      </c>
      <c r="F11" s="132">
        <v>48.96</v>
      </c>
      <c r="G11" s="1"/>
    </row>
    <row r="12" spans="2:7" x14ac:dyDescent="0.25">
      <c r="B12" s="97" t="s">
        <v>215</v>
      </c>
      <c r="C12" s="130">
        <v>17.34</v>
      </c>
      <c r="D12" s="130">
        <v>22.73</v>
      </c>
      <c r="E12" s="131">
        <v>25.43</v>
      </c>
      <c r="F12" s="132">
        <v>18.489999999999998</v>
      </c>
      <c r="G12" s="1"/>
    </row>
    <row r="13" spans="2:7" x14ac:dyDescent="0.25">
      <c r="B13" s="98" t="s">
        <v>217</v>
      </c>
      <c r="C13" s="120">
        <v>12.93</v>
      </c>
      <c r="D13" s="120">
        <v>13.82</v>
      </c>
      <c r="E13" s="131">
        <v>34.049999999999997</v>
      </c>
      <c r="F13" s="133">
        <v>21.24</v>
      </c>
      <c r="G13" s="1"/>
    </row>
    <row r="14" spans="2:7" x14ac:dyDescent="0.25">
      <c r="E14" s="134"/>
    </row>
    <row r="15" spans="2:7" x14ac:dyDescent="0.25">
      <c r="B15" s="135" t="s">
        <v>221</v>
      </c>
      <c r="C15" s="136" t="s">
        <v>222</v>
      </c>
      <c r="D15" s="136" t="s">
        <v>223</v>
      </c>
      <c r="E15" s="137">
        <v>33.35</v>
      </c>
      <c r="F15" s="138">
        <v>24.89</v>
      </c>
    </row>
    <row r="17" spans="2:7" x14ac:dyDescent="0.25">
      <c r="B17" s="129" t="s">
        <v>219</v>
      </c>
      <c r="C17" s="139"/>
      <c r="D17" s="139"/>
      <c r="E17" s="139"/>
      <c r="F17" s="140"/>
    </row>
    <row r="18" spans="2:7" x14ac:dyDescent="0.25">
      <c r="B18" s="97" t="s">
        <v>224</v>
      </c>
      <c r="C18" s="130">
        <f>MIN(C9:C13)</f>
        <v>12.93</v>
      </c>
      <c r="D18" s="130">
        <f t="shared" ref="D18:F18" si="0">MIN(D9:D13)</f>
        <v>13.82</v>
      </c>
      <c r="E18" s="130">
        <f t="shared" si="0"/>
        <v>25.43</v>
      </c>
      <c r="F18" s="58">
        <f t="shared" si="0"/>
        <v>18.489999999999998</v>
      </c>
    </row>
    <row r="19" spans="2:7" x14ac:dyDescent="0.25">
      <c r="B19" s="97" t="s">
        <v>225</v>
      </c>
      <c r="C19" s="141">
        <f>AVERAGE(C9:C13)</f>
        <v>23.022000000000002</v>
      </c>
      <c r="D19" s="141">
        <f t="shared" ref="D19:F19" si="1">AVERAGE(D9:D13)</f>
        <v>25.128000000000004</v>
      </c>
      <c r="E19" s="141">
        <f t="shared" si="1"/>
        <v>50.898000000000003</v>
      </c>
      <c r="F19" s="142">
        <f t="shared" si="1"/>
        <v>26.139999999999997</v>
      </c>
    </row>
    <row r="20" spans="2:7" x14ac:dyDescent="0.25">
      <c r="B20" s="97" t="s">
        <v>226</v>
      </c>
      <c r="C20" s="130">
        <f>MEDIAN(C9:C13)</f>
        <v>20.38</v>
      </c>
      <c r="D20" s="130">
        <f t="shared" ref="D20:F20" si="2">MEDIAN(D9:D13)</f>
        <v>22.73</v>
      </c>
      <c r="E20" s="130">
        <f t="shared" si="2"/>
        <v>28.93</v>
      </c>
      <c r="F20" s="58">
        <f t="shared" si="2"/>
        <v>21.24</v>
      </c>
      <c r="G20" s="143"/>
    </row>
    <row r="21" spans="2:7" x14ac:dyDescent="0.25">
      <c r="B21" s="98" t="s">
        <v>227</v>
      </c>
      <c r="C21" s="120">
        <f>MAX(C9:C13)</f>
        <v>42.64</v>
      </c>
      <c r="D21" s="120">
        <f t="shared" ref="D21:F21" si="3">MAX(D9:D13)</f>
        <v>43.62</v>
      </c>
      <c r="E21" s="120">
        <f t="shared" si="3"/>
        <v>140.4</v>
      </c>
      <c r="F21" s="144">
        <f t="shared" si="3"/>
        <v>48.96</v>
      </c>
      <c r="G21" s="14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MTD Master</vt:lpstr>
      <vt:lpstr>MTD Historicals</vt:lpstr>
      <vt:lpstr>Assumptions</vt:lpstr>
      <vt:lpstr>DCF</vt:lpstr>
      <vt:lpstr>Comps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 Fear</dc:creator>
  <cp:lastModifiedBy>Paris Fear</cp:lastModifiedBy>
  <dcterms:created xsi:type="dcterms:W3CDTF">2024-02-25T17:51:17Z</dcterms:created>
  <dcterms:modified xsi:type="dcterms:W3CDTF">2024-04-01T23:28:18Z</dcterms:modified>
</cp:coreProperties>
</file>