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aty\Downloads\"/>
    </mc:Choice>
  </mc:AlternateContent>
  <xr:revisionPtr revIDLastSave="0" documentId="8_{F40096CF-9CD8-49AB-8F44-482AA636A9B4}" xr6:coauthVersionLast="47" xr6:coauthVersionMax="47" xr10:uidLastSave="{00000000-0000-0000-0000-000000000000}"/>
  <bookViews>
    <workbookView xWindow="28680" yWindow="-120" windowWidth="29040" windowHeight="15720" activeTab="6" xr2:uid="{B57B46F1-CE05-4359-878F-11D37D00910F}"/>
  </bookViews>
  <sheets>
    <sheet name="Master" sheetId="2" r:id="rId1"/>
    <sheet name="DCF" sheetId="5" r:id="rId2"/>
    <sheet name="Reverse DCF" sheetId="8" r:id="rId3"/>
    <sheet name="WACC" sheetId="6" r:id="rId4"/>
    <sheet name="Operating " sheetId="3" r:id="rId5"/>
    <sheet name="Assumptions" sheetId="4" r:id="rId6"/>
    <sheet name="Historicals" sheetId="1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5" l="1"/>
  <c r="C28" i="5"/>
  <c r="H11" i="4"/>
  <c r="G11" i="4"/>
  <c r="I15" i="4" l="1"/>
  <c r="J15" i="4" s="1"/>
  <c r="K15" i="4" s="1"/>
  <c r="O20" i="8"/>
  <c r="K22" i="4"/>
  <c r="G21" i="4"/>
  <c r="H21" i="4" s="1"/>
  <c r="I21" i="4" s="1"/>
  <c r="J21" i="4" s="1"/>
  <c r="H33" i="4"/>
  <c r="R20" i="8"/>
  <c r="O23" i="8"/>
  <c r="E3" i="8"/>
  <c r="E25" i="8" s="1"/>
  <c r="F25" i="8" s="1"/>
  <c r="I9" i="4"/>
  <c r="H27" i="4"/>
  <c r="I27" i="4" s="1"/>
  <c r="P23" i="5"/>
  <c r="E39" i="3"/>
  <c r="E27" i="3"/>
  <c r="J27" i="4" l="1"/>
  <c r="J29" i="4" s="1"/>
  <c r="G25" i="8"/>
  <c r="I29" i="4"/>
  <c r="H25" i="8" l="1"/>
  <c r="I25" i="8" l="1"/>
  <c r="J25" i="8" l="1"/>
  <c r="F16" i="4" l="1"/>
  <c r="C15" i="6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6" i="3"/>
  <c r="C36" i="3"/>
  <c r="D35" i="3"/>
  <c r="C35" i="3"/>
  <c r="D34" i="3"/>
  <c r="C34" i="3"/>
  <c r="D32" i="3"/>
  <c r="C32" i="3"/>
  <c r="D27" i="3"/>
  <c r="C27" i="3"/>
  <c r="D26" i="3"/>
  <c r="C26" i="3"/>
  <c r="D22" i="3"/>
  <c r="C22" i="3"/>
  <c r="D17" i="3"/>
  <c r="C17" i="3"/>
  <c r="D12" i="3"/>
  <c r="C12" i="3"/>
  <c r="D8" i="3"/>
  <c r="C8" i="3"/>
  <c r="D7" i="3"/>
  <c r="D9" i="3" s="1"/>
  <c r="C7" i="3"/>
  <c r="C9" i="3" s="1"/>
  <c r="E45" i="3"/>
  <c r="E44" i="3"/>
  <c r="E43" i="3"/>
  <c r="E42" i="3"/>
  <c r="E41" i="3"/>
  <c r="E40" i="3"/>
  <c r="E36" i="3"/>
  <c r="E67" i="4" s="1"/>
  <c r="E35" i="3"/>
  <c r="E34" i="3"/>
  <c r="E32" i="3"/>
  <c r="E26" i="3"/>
  <c r="E22" i="3"/>
  <c r="E17" i="3"/>
  <c r="E12" i="3"/>
  <c r="D10" i="5" s="1"/>
  <c r="E8" i="3"/>
  <c r="E7" i="3"/>
  <c r="C84" i="1"/>
  <c r="E71" i="1"/>
  <c r="E86" i="1" s="1"/>
  <c r="E88" i="1" s="1"/>
  <c r="D84" i="1"/>
  <c r="E84" i="1"/>
  <c r="E49" i="1"/>
  <c r="E38" i="1"/>
  <c r="E42" i="1" s="1"/>
  <c r="E24" i="1"/>
  <c r="E29" i="1" s="1"/>
  <c r="E5" i="1"/>
  <c r="D5" i="1"/>
  <c r="E8" i="1"/>
  <c r="D8" i="1"/>
  <c r="F28" i="4"/>
  <c r="F29" i="4"/>
  <c r="F46" i="4"/>
  <c r="F47" i="4"/>
  <c r="F41" i="4"/>
  <c r="F35" i="4"/>
  <c r="G29" i="4"/>
  <c r="H29" i="4"/>
  <c r="G28" i="4"/>
  <c r="H28" i="4"/>
  <c r="I28" i="4"/>
  <c r="J28" i="4"/>
  <c r="F40" i="4"/>
  <c r="H35" i="4"/>
  <c r="F11" i="4"/>
  <c r="G10" i="4"/>
  <c r="F10" i="4"/>
  <c r="M20" i="5"/>
  <c r="C10" i="5" l="1"/>
  <c r="C20" i="5"/>
  <c r="C14" i="5"/>
  <c r="C11" i="5"/>
  <c r="C17" i="8"/>
  <c r="D20" i="5"/>
  <c r="D14" i="5"/>
  <c r="D11" i="5"/>
  <c r="D17" i="8"/>
  <c r="C37" i="3"/>
  <c r="C48" i="3" s="1"/>
  <c r="E46" i="3"/>
  <c r="C22" i="5"/>
  <c r="C19" i="8"/>
  <c r="C8" i="5"/>
  <c r="D10" i="3"/>
  <c r="C8" i="8"/>
  <c r="D37" i="3"/>
  <c r="D22" i="5"/>
  <c r="D19" i="8"/>
  <c r="C46" i="3"/>
  <c r="D46" i="3"/>
  <c r="C14" i="3"/>
  <c r="C15" i="3" s="1"/>
  <c r="D14" i="3"/>
  <c r="D15" i="3" s="1"/>
  <c r="E9" i="1"/>
  <c r="E13" i="1" s="1"/>
  <c r="E15" i="1" s="1"/>
  <c r="E50" i="1"/>
  <c r="C16" i="6"/>
  <c r="C11" i="6"/>
  <c r="C7" i="6"/>
  <c r="C17" i="6" s="1"/>
  <c r="F3" i="5"/>
  <c r="E29" i="5" s="1"/>
  <c r="E30" i="5" s="1"/>
  <c r="C97" i="4"/>
  <c r="E97" i="4"/>
  <c r="C103" i="4"/>
  <c r="D103" i="4"/>
  <c r="E103" i="4"/>
  <c r="D91" i="4"/>
  <c r="E91" i="4"/>
  <c r="C91" i="4"/>
  <c r="D49" i="4"/>
  <c r="E49" i="4"/>
  <c r="C49" i="4"/>
  <c r="G34" i="4"/>
  <c r="D115" i="4"/>
  <c r="E115" i="4"/>
  <c r="C115" i="4"/>
  <c r="C116" i="4" s="1"/>
  <c r="G63" i="4"/>
  <c r="G65" i="4" s="1"/>
  <c r="K27" i="4"/>
  <c r="F34" i="4"/>
  <c r="G47" i="4"/>
  <c r="H47" i="4"/>
  <c r="I47" i="4"/>
  <c r="J47" i="4"/>
  <c r="K47" i="4"/>
  <c r="G46" i="4"/>
  <c r="H46" i="4"/>
  <c r="I46" i="4"/>
  <c r="J46" i="4"/>
  <c r="K46" i="4"/>
  <c r="D43" i="4"/>
  <c r="E43" i="4"/>
  <c r="C43" i="4"/>
  <c r="H39" i="4"/>
  <c r="I17" i="4"/>
  <c r="G23" i="4"/>
  <c r="I23" i="4"/>
  <c r="F23" i="4"/>
  <c r="G22" i="4"/>
  <c r="F22" i="4"/>
  <c r="G17" i="4"/>
  <c r="H17" i="4"/>
  <c r="F17" i="4"/>
  <c r="G16" i="4"/>
  <c r="H16" i="4"/>
  <c r="H10" i="4"/>
  <c r="C79" i="4"/>
  <c r="D79" i="4"/>
  <c r="E79" i="4"/>
  <c r="C85" i="4"/>
  <c r="D85" i="4"/>
  <c r="E85" i="4"/>
  <c r="D97" i="4"/>
  <c r="C109" i="4"/>
  <c r="D109" i="4"/>
  <c r="E109" i="4"/>
  <c r="D73" i="4"/>
  <c r="E73" i="4"/>
  <c r="E74" i="4" s="1"/>
  <c r="C73" i="4"/>
  <c r="D67" i="4"/>
  <c r="C67" i="4"/>
  <c r="D61" i="4"/>
  <c r="E61" i="4"/>
  <c r="C61" i="4"/>
  <c r="D55" i="4"/>
  <c r="E55" i="4"/>
  <c r="C55" i="4"/>
  <c r="D31" i="4"/>
  <c r="E31" i="4"/>
  <c r="C31" i="4"/>
  <c r="K23" i="4"/>
  <c r="J9" i="4"/>
  <c r="C4" i="4"/>
  <c r="D6" i="4"/>
  <c r="E6" i="4" s="1"/>
  <c r="F6" i="4" s="1"/>
  <c r="G6" i="4" s="1"/>
  <c r="H6" i="4" s="1"/>
  <c r="I6" i="4" s="1"/>
  <c r="J6" i="4" s="1"/>
  <c r="K6" i="4" s="1"/>
  <c r="D37" i="4"/>
  <c r="E37" i="4"/>
  <c r="C37" i="4"/>
  <c r="D25" i="4"/>
  <c r="E25" i="4"/>
  <c r="C25" i="4"/>
  <c r="D19" i="4"/>
  <c r="E19" i="4"/>
  <c r="C13" i="4"/>
  <c r="D13" i="4"/>
  <c r="E13" i="4"/>
  <c r="D6" i="3"/>
  <c r="E6" i="3" s="1"/>
  <c r="F6" i="3" s="1"/>
  <c r="G6" i="3" s="1"/>
  <c r="H6" i="3" s="1"/>
  <c r="I6" i="3" s="1"/>
  <c r="J6" i="3" s="1"/>
  <c r="K6" i="3" s="1"/>
  <c r="D19" i="3" l="1"/>
  <c r="D23" i="3" s="1"/>
  <c r="D48" i="3"/>
  <c r="K29" i="4"/>
  <c r="K28" i="4"/>
  <c r="D21" i="5"/>
  <c r="D18" i="8"/>
  <c r="C21" i="5"/>
  <c r="C18" i="8"/>
  <c r="C19" i="3"/>
  <c r="C23" i="3" s="1"/>
  <c r="C24" i="3" s="1"/>
  <c r="D49" i="3"/>
  <c r="C12" i="5"/>
  <c r="C13" i="5" s="1"/>
  <c r="C15" i="5"/>
  <c r="J86" i="4"/>
  <c r="I57" i="8" s="1"/>
  <c r="G20" i="4"/>
  <c r="F39" i="8" s="1"/>
  <c r="F20" i="4"/>
  <c r="E39" i="8" s="1"/>
  <c r="K9" i="4"/>
  <c r="K11" i="4" s="1"/>
  <c r="F26" i="8"/>
  <c r="E26" i="8"/>
  <c r="G26" i="8"/>
  <c r="H26" i="8"/>
  <c r="I26" i="8"/>
  <c r="J26" i="8"/>
  <c r="D24" i="3"/>
  <c r="D29" i="3"/>
  <c r="D30" i="3" s="1"/>
  <c r="D20" i="3"/>
  <c r="C12" i="8" s="1"/>
  <c r="C11" i="8" s="1"/>
  <c r="C29" i="3"/>
  <c r="C30" i="3" s="1"/>
  <c r="C20" i="3"/>
  <c r="D28" i="3"/>
  <c r="C28" i="3"/>
  <c r="E62" i="4"/>
  <c r="E9" i="3"/>
  <c r="C74" i="4"/>
  <c r="H50" i="4"/>
  <c r="K50" i="4"/>
  <c r="K86" i="4"/>
  <c r="J50" i="4"/>
  <c r="F50" i="4"/>
  <c r="I50" i="4"/>
  <c r="G50" i="4"/>
  <c r="F92" i="4"/>
  <c r="H63" i="4"/>
  <c r="H62" i="4" s="1"/>
  <c r="G92" i="4"/>
  <c r="G64" i="4"/>
  <c r="H56" i="4"/>
  <c r="G98" i="4"/>
  <c r="F62" i="4"/>
  <c r="F104" i="4"/>
  <c r="F98" i="4"/>
  <c r="E61" i="8" s="1"/>
  <c r="F44" i="4"/>
  <c r="F28" i="3" s="1"/>
  <c r="E15" i="8" s="1"/>
  <c r="G62" i="4"/>
  <c r="H110" i="4"/>
  <c r="G44" i="4"/>
  <c r="G28" i="3" s="1"/>
  <c r="F15" i="8" s="1"/>
  <c r="F68" i="4"/>
  <c r="I110" i="4"/>
  <c r="F116" i="4"/>
  <c r="G68" i="4"/>
  <c r="J110" i="4"/>
  <c r="F74" i="4"/>
  <c r="K110" i="4"/>
  <c r="G74" i="4"/>
  <c r="H74" i="4"/>
  <c r="H23" i="4"/>
  <c r="G80" i="4"/>
  <c r="H86" i="4"/>
  <c r="I86" i="4"/>
  <c r="F32" i="4"/>
  <c r="D38" i="4"/>
  <c r="I74" i="4"/>
  <c r="J74" i="4"/>
  <c r="H98" i="4"/>
  <c r="F38" i="4"/>
  <c r="I98" i="4"/>
  <c r="K74" i="4"/>
  <c r="J98" i="4"/>
  <c r="F80" i="4"/>
  <c r="K98" i="4"/>
  <c r="G116" i="4"/>
  <c r="E38" i="4"/>
  <c r="H80" i="4"/>
  <c r="G104" i="4"/>
  <c r="F56" i="4"/>
  <c r="F86" i="4"/>
  <c r="F110" i="4"/>
  <c r="C38" i="4"/>
  <c r="G56" i="4"/>
  <c r="G86" i="4"/>
  <c r="G110" i="4"/>
  <c r="J23" i="4"/>
  <c r="G35" i="4"/>
  <c r="G32" i="4"/>
  <c r="H116" i="4"/>
  <c r="K116" i="4"/>
  <c r="J116" i="4"/>
  <c r="I116" i="4"/>
  <c r="D74" i="4"/>
  <c r="C62" i="4"/>
  <c r="D62" i="4"/>
  <c r="D116" i="4"/>
  <c r="D26" i="4"/>
  <c r="E116" i="4"/>
  <c r="J22" i="4"/>
  <c r="I22" i="4"/>
  <c r="H22" i="4"/>
  <c r="I33" i="4"/>
  <c r="I35" i="4" s="1"/>
  <c r="H32" i="4"/>
  <c r="H34" i="4"/>
  <c r="G40" i="4"/>
  <c r="I39" i="4"/>
  <c r="I38" i="4" s="1"/>
  <c r="H40" i="4"/>
  <c r="H41" i="4"/>
  <c r="G38" i="4"/>
  <c r="G41" i="4"/>
  <c r="I80" i="4"/>
  <c r="I56" i="4"/>
  <c r="D14" i="4"/>
  <c r="C7" i="4"/>
  <c r="E7" i="4"/>
  <c r="D7" i="4"/>
  <c r="E37" i="3"/>
  <c r="E48" i="3" s="1"/>
  <c r="E49" i="3" s="1"/>
  <c r="D20" i="4"/>
  <c r="C19" i="4"/>
  <c r="H38" i="4"/>
  <c r="J10" i="4"/>
  <c r="I10" i="4"/>
  <c r="I16" i="4"/>
  <c r="J11" i="4"/>
  <c r="I11" i="4"/>
  <c r="K10" i="4" l="1"/>
  <c r="E98" i="4"/>
  <c r="D8" i="5"/>
  <c r="E10" i="3"/>
  <c r="D8" i="8"/>
  <c r="C18" i="5"/>
  <c r="C15" i="8"/>
  <c r="C14" i="8" s="1"/>
  <c r="C16" i="8" s="1"/>
  <c r="C29" i="8"/>
  <c r="C30" i="8" s="1"/>
  <c r="C23" i="5"/>
  <c r="C20" i="8"/>
  <c r="C17" i="5"/>
  <c r="C19" i="5" s="1"/>
  <c r="C24" i="5" s="1"/>
  <c r="C25" i="5" s="1"/>
  <c r="C16" i="5"/>
  <c r="D23" i="5"/>
  <c r="D20" i="8"/>
  <c r="F29" i="5"/>
  <c r="G55" i="8"/>
  <c r="E53" i="8"/>
  <c r="F55" i="8"/>
  <c r="G45" i="8"/>
  <c r="F49" i="8"/>
  <c r="E47" i="8"/>
  <c r="G53" i="8"/>
  <c r="F53" i="8"/>
  <c r="E55" i="8"/>
  <c r="I61" i="8"/>
  <c r="G47" i="8"/>
  <c r="F65" i="8"/>
  <c r="F57" i="8"/>
  <c r="J57" i="8"/>
  <c r="H73" i="8"/>
  <c r="I73" i="8"/>
  <c r="J73" i="8"/>
  <c r="G73" i="8"/>
  <c r="F59" i="8"/>
  <c r="I65" i="8"/>
  <c r="H61" i="8"/>
  <c r="E36" i="8"/>
  <c r="H65" i="8"/>
  <c r="F45" i="8"/>
  <c r="E49" i="8"/>
  <c r="H45" i="8"/>
  <c r="F61" i="8"/>
  <c r="H36" i="8"/>
  <c r="G36" i="8"/>
  <c r="G34" i="8"/>
  <c r="E59" i="8"/>
  <c r="G61" i="8"/>
  <c r="G65" i="8"/>
  <c r="E57" i="8"/>
  <c r="E63" i="8"/>
  <c r="F73" i="8"/>
  <c r="J61" i="8"/>
  <c r="J65" i="8"/>
  <c r="F34" i="8"/>
  <c r="J53" i="8"/>
  <c r="E73" i="8"/>
  <c r="I53" i="8"/>
  <c r="H53" i="8"/>
  <c r="E65" i="8"/>
  <c r="H55" i="8"/>
  <c r="E34" i="8"/>
  <c r="F47" i="8"/>
  <c r="E45" i="8"/>
  <c r="H57" i="8"/>
  <c r="F36" i="8"/>
  <c r="F63" i="8"/>
  <c r="G57" i="8"/>
  <c r="F18" i="5"/>
  <c r="E18" i="5"/>
  <c r="E32" i="4"/>
  <c r="E26" i="4"/>
  <c r="E68" i="4"/>
  <c r="C26" i="4"/>
  <c r="D80" i="4"/>
  <c r="D104" i="4"/>
  <c r="E110" i="4"/>
  <c r="E80" i="4"/>
  <c r="E104" i="4"/>
  <c r="E50" i="4"/>
  <c r="D92" i="4"/>
  <c r="E20" i="4"/>
  <c r="E92" i="4"/>
  <c r="D32" i="4"/>
  <c r="D98" i="4"/>
  <c r="D56" i="4"/>
  <c r="D86" i="4"/>
  <c r="D68" i="4"/>
  <c r="E86" i="4"/>
  <c r="E56" i="4"/>
  <c r="E14" i="3"/>
  <c r="E15" i="3" s="1"/>
  <c r="D50" i="4"/>
  <c r="C20" i="4"/>
  <c r="C32" i="4"/>
  <c r="C98" i="4"/>
  <c r="C104" i="4"/>
  <c r="C92" i="4"/>
  <c r="C68" i="4"/>
  <c r="C80" i="4"/>
  <c r="C56" i="4"/>
  <c r="C110" i="4"/>
  <c r="C50" i="4"/>
  <c r="D8" i="4"/>
  <c r="I63" i="4"/>
  <c r="H64" i="4"/>
  <c r="H65" i="4"/>
  <c r="D110" i="4"/>
  <c r="C86" i="4"/>
  <c r="I34" i="4"/>
  <c r="J33" i="4"/>
  <c r="J39" i="4"/>
  <c r="I40" i="4"/>
  <c r="I41" i="4"/>
  <c r="H104" i="4"/>
  <c r="H92" i="4"/>
  <c r="K80" i="4"/>
  <c r="J80" i="4"/>
  <c r="H68" i="4"/>
  <c r="K56" i="4"/>
  <c r="J56" i="4"/>
  <c r="C44" i="4"/>
  <c r="H44" i="4"/>
  <c r="H28" i="3" s="1"/>
  <c r="G15" i="8" s="1"/>
  <c r="E8" i="4"/>
  <c r="I32" i="4"/>
  <c r="J17" i="4"/>
  <c r="J16" i="4"/>
  <c r="E14" i="4"/>
  <c r="C21" i="8" l="1"/>
  <c r="C23" i="8" s="1"/>
  <c r="C24" i="8" s="1"/>
  <c r="D9" i="8"/>
  <c r="E8" i="8"/>
  <c r="D9" i="5"/>
  <c r="D12" i="5"/>
  <c r="E46" i="8"/>
  <c r="G29" i="5"/>
  <c r="H29" i="5" s="1"/>
  <c r="I29" i="5" s="1"/>
  <c r="J29" i="5" s="1"/>
  <c r="J30" i="5" s="1"/>
  <c r="F30" i="5"/>
  <c r="J34" i="4"/>
  <c r="J35" i="4"/>
  <c r="H34" i="8"/>
  <c r="J45" i="8"/>
  <c r="G49" i="8"/>
  <c r="I45" i="8"/>
  <c r="I55" i="8"/>
  <c r="G59" i="8"/>
  <c r="G63" i="8"/>
  <c r="J55" i="8"/>
  <c r="G18" i="5"/>
  <c r="E19" i="3"/>
  <c r="I65" i="4"/>
  <c r="I64" i="4"/>
  <c r="J63" i="4"/>
  <c r="I62" i="4"/>
  <c r="D44" i="4"/>
  <c r="K33" i="4"/>
  <c r="K35" i="4" s="1"/>
  <c r="K39" i="4"/>
  <c r="J40" i="4"/>
  <c r="J41" i="4"/>
  <c r="J38" i="4"/>
  <c r="I104" i="4"/>
  <c r="I92" i="4"/>
  <c r="I68" i="4"/>
  <c r="I44" i="4"/>
  <c r="I28" i="3" s="1"/>
  <c r="H15" i="8" s="1"/>
  <c r="J32" i="4"/>
  <c r="K17" i="4"/>
  <c r="K16" i="4"/>
  <c r="D76" i="1"/>
  <c r="C76" i="1"/>
  <c r="D71" i="1"/>
  <c r="D86" i="1" s="1"/>
  <c r="D88" i="1" s="1"/>
  <c r="C71" i="1"/>
  <c r="D49" i="1"/>
  <c r="C49" i="1"/>
  <c r="D38" i="1"/>
  <c r="D42" i="1" s="1"/>
  <c r="D50" i="1" s="1"/>
  <c r="C38" i="1"/>
  <c r="C42" i="1" s="1"/>
  <c r="C50" i="1" s="1"/>
  <c r="D24" i="1"/>
  <c r="D29" i="1" s="1"/>
  <c r="C24" i="1"/>
  <c r="C29" i="1" s="1"/>
  <c r="C8" i="1"/>
  <c r="D9" i="1"/>
  <c r="D13" i="1" s="1"/>
  <c r="D15" i="1" s="1"/>
  <c r="C5" i="1"/>
  <c r="F8" i="4"/>
  <c r="F7" i="4" s="1"/>
  <c r="F14" i="4"/>
  <c r="F13" i="4" s="1"/>
  <c r="F8" i="3" s="1"/>
  <c r="G14" i="4"/>
  <c r="H14" i="4"/>
  <c r="I14" i="4"/>
  <c r="J14" i="4"/>
  <c r="K14" i="4"/>
  <c r="F26" i="4"/>
  <c r="D13" i="5" l="1"/>
  <c r="D15" i="5"/>
  <c r="E20" i="3"/>
  <c r="D12" i="8" s="1"/>
  <c r="D11" i="8" s="1"/>
  <c r="E23" i="3"/>
  <c r="E28" i="3"/>
  <c r="E29" i="3"/>
  <c r="E9" i="8"/>
  <c r="F8" i="8"/>
  <c r="E62" i="8"/>
  <c r="E40" i="8"/>
  <c r="E58" i="8"/>
  <c r="E60" i="8"/>
  <c r="E35" i="8"/>
  <c r="E19" i="8" s="1"/>
  <c r="E64" i="8"/>
  <c r="E50" i="8"/>
  <c r="E56" i="8"/>
  <c r="E66" i="8"/>
  <c r="G30" i="5"/>
  <c r="H47" i="8"/>
  <c r="H49" i="8"/>
  <c r="E41" i="8"/>
  <c r="E42" i="8" s="1"/>
  <c r="E74" i="8" s="1"/>
  <c r="E18" i="8" s="1"/>
  <c r="I34" i="8"/>
  <c r="H59" i="8"/>
  <c r="H63" i="8"/>
  <c r="I36" i="8"/>
  <c r="H30" i="5"/>
  <c r="H18" i="5"/>
  <c r="F7" i="3"/>
  <c r="C86" i="1"/>
  <c r="C88" i="1" s="1"/>
  <c r="E44" i="4"/>
  <c r="E30" i="3"/>
  <c r="E24" i="3"/>
  <c r="C9" i="1"/>
  <c r="C13" i="1" s="1"/>
  <c r="C15" i="1" s="1"/>
  <c r="K34" i="4"/>
  <c r="J65" i="4"/>
  <c r="J64" i="4"/>
  <c r="K63" i="4"/>
  <c r="J62" i="4"/>
  <c r="K40" i="4"/>
  <c r="K41" i="4"/>
  <c r="K38" i="4"/>
  <c r="J36" i="8" s="1"/>
  <c r="J104" i="4"/>
  <c r="J92" i="4"/>
  <c r="J68" i="4"/>
  <c r="J44" i="4"/>
  <c r="J28" i="3" s="1"/>
  <c r="I15" i="8" s="1"/>
  <c r="K32" i="4"/>
  <c r="G13" i="4"/>
  <c r="G8" i="4"/>
  <c r="G7" i="4" s="1"/>
  <c r="H8" i="4"/>
  <c r="I8" i="4"/>
  <c r="J8" i="4"/>
  <c r="K8" i="4"/>
  <c r="G8" i="8" l="1"/>
  <c r="F9" i="8"/>
  <c r="F40" i="8"/>
  <c r="F58" i="8"/>
  <c r="F60" i="8"/>
  <c r="F50" i="8"/>
  <c r="F66" i="8"/>
  <c r="F46" i="8"/>
  <c r="F62" i="8"/>
  <c r="F64" i="8"/>
  <c r="F35" i="8"/>
  <c r="F56" i="8"/>
  <c r="E54" i="8"/>
  <c r="E67" i="8" s="1"/>
  <c r="E48" i="8"/>
  <c r="E51" i="8" s="1"/>
  <c r="D18" i="5"/>
  <c r="D17" i="5" s="1"/>
  <c r="D19" i="5" s="1"/>
  <c r="D24" i="5" s="1"/>
  <c r="D25" i="5" s="1"/>
  <c r="D15" i="8"/>
  <c r="D14" i="8" s="1"/>
  <c r="D16" i="8" s="1"/>
  <c r="D21" i="8" s="1"/>
  <c r="D23" i="8" s="1"/>
  <c r="D24" i="8" s="1"/>
  <c r="D16" i="5"/>
  <c r="E37" i="8"/>
  <c r="E17" i="8" s="1"/>
  <c r="D29" i="8"/>
  <c r="D30" i="8" s="1"/>
  <c r="F9" i="3"/>
  <c r="F10" i="3" s="1"/>
  <c r="I49" i="8"/>
  <c r="I63" i="8"/>
  <c r="J34" i="8"/>
  <c r="I59" i="8"/>
  <c r="I47" i="8"/>
  <c r="I30" i="5"/>
  <c r="I18" i="5"/>
  <c r="G7" i="3"/>
  <c r="K62" i="4"/>
  <c r="K65" i="4"/>
  <c r="K64" i="4"/>
  <c r="K104" i="4"/>
  <c r="K92" i="4"/>
  <c r="K68" i="4"/>
  <c r="K44" i="4"/>
  <c r="K28" i="3" s="1"/>
  <c r="J15" i="8" s="1"/>
  <c r="H13" i="4"/>
  <c r="G8" i="3"/>
  <c r="H7" i="4"/>
  <c r="E70" i="8" l="1"/>
  <c r="E71" i="8" s="1"/>
  <c r="E20" i="8" s="1"/>
  <c r="F19" i="8"/>
  <c r="F37" i="8"/>
  <c r="F17" i="8" s="1"/>
  <c r="F48" i="8"/>
  <c r="F51" i="8" s="1"/>
  <c r="F54" i="8"/>
  <c r="F67" i="8" s="1"/>
  <c r="H8" i="8"/>
  <c r="G9" i="8"/>
  <c r="G62" i="8"/>
  <c r="G66" i="8"/>
  <c r="G46" i="8"/>
  <c r="G35" i="8"/>
  <c r="G58" i="8"/>
  <c r="G56" i="8"/>
  <c r="G64" i="8"/>
  <c r="G50" i="8"/>
  <c r="G60" i="8"/>
  <c r="F109" i="4"/>
  <c r="F45" i="3" s="1"/>
  <c r="E8" i="5"/>
  <c r="E9" i="5" s="1"/>
  <c r="F49" i="4"/>
  <c r="F26" i="3" s="1"/>
  <c r="F91" i="4"/>
  <c r="F42" i="3" s="1"/>
  <c r="F19" i="4"/>
  <c r="F12" i="3" s="1"/>
  <c r="F79" i="4"/>
  <c r="F40" i="3" s="1"/>
  <c r="F103" i="4"/>
  <c r="F44" i="3" s="1"/>
  <c r="F25" i="4"/>
  <c r="F17" i="3" s="1"/>
  <c r="F115" i="4" s="1"/>
  <c r="E21" i="5" s="1"/>
  <c r="F97" i="4"/>
  <c r="F43" i="3" s="1"/>
  <c r="F55" i="4"/>
  <c r="F34" i="3" s="1"/>
  <c r="F31" i="4"/>
  <c r="F37" i="4" s="1"/>
  <c r="F22" i="3" s="1"/>
  <c r="F85" i="4"/>
  <c r="F41" i="3" s="1"/>
  <c r="F67" i="4"/>
  <c r="F36" i="3" s="1"/>
  <c r="J47" i="8"/>
  <c r="J49" i="8"/>
  <c r="J59" i="8"/>
  <c r="J63" i="8"/>
  <c r="J18" i="5"/>
  <c r="G9" i="3"/>
  <c r="G10" i="3" s="1"/>
  <c r="H7" i="3"/>
  <c r="I13" i="4"/>
  <c r="H8" i="3"/>
  <c r="I7" i="4"/>
  <c r="F70" i="8" l="1"/>
  <c r="F71" i="8" s="1"/>
  <c r="F20" i="8" s="1"/>
  <c r="G19" i="8"/>
  <c r="G37" i="8"/>
  <c r="G17" i="8" s="1"/>
  <c r="I8" i="8"/>
  <c r="H9" i="8"/>
  <c r="H66" i="8"/>
  <c r="H62" i="8"/>
  <c r="H56" i="8"/>
  <c r="H58" i="8"/>
  <c r="H46" i="8"/>
  <c r="H35" i="8"/>
  <c r="H50" i="8"/>
  <c r="H60" i="8"/>
  <c r="H64" i="8"/>
  <c r="F73" i="4"/>
  <c r="F39" i="3" s="1"/>
  <c r="F46" i="3" s="1"/>
  <c r="E10" i="5"/>
  <c r="F32" i="3"/>
  <c r="E22" i="5" s="1"/>
  <c r="F14" i="3"/>
  <c r="F15" i="3" s="1"/>
  <c r="F61" i="4"/>
  <c r="F35" i="3" s="1"/>
  <c r="F37" i="3" s="1"/>
  <c r="E20" i="5"/>
  <c r="G97" i="4"/>
  <c r="G43" i="3" s="1"/>
  <c r="G55" i="4"/>
  <c r="G34" i="3" s="1"/>
  <c r="G31" i="4"/>
  <c r="G37" i="4" s="1"/>
  <c r="G22" i="3" s="1"/>
  <c r="G85" i="4"/>
  <c r="G41" i="3" s="1"/>
  <c r="G67" i="4"/>
  <c r="G36" i="3" s="1"/>
  <c r="G109" i="4"/>
  <c r="G45" i="3" s="1"/>
  <c r="G79" i="4"/>
  <c r="F8" i="5"/>
  <c r="F9" i="5" s="1"/>
  <c r="G103" i="4"/>
  <c r="G44" i="3" s="1"/>
  <c r="G49" i="4"/>
  <c r="G26" i="3" s="1"/>
  <c r="G91" i="4"/>
  <c r="G42" i="3" s="1"/>
  <c r="H9" i="3"/>
  <c r="H10" i="3" s="1"/>
  <c r="J7" i="4"/>
  <c r="J7" i="3" s="1"/>
  <c r="E14" i="5"/>
  <c r="E11" i="5"/>
  <c r="J13" i="4"/>
  <c r="I8" i="3"/>
  <c r="I7" i="3"/>
  <c r="I9" i="8" l="1"/>
  <c r="J8" i="8"/>
  <c r="I58" i="8"/>
  <c r="I62" i="8"/>
  <c r="I66" i="8"/>
  <c r="I46" i="8"/>
  <c r="I56" i="8"/>
  <c r="I35" i="8"/>
  <c r="I50" i="8"/>
  <c r="I64" i="8"/>
  <c r="I60" i="8"/>
  <c r="H37" i="8"/>
  <c r="H17" i="8" s="1"/>
  <c r="H19" i="8"/>
  <c r="F48" i="3"/>
  <c r="F49" i="3" s="1"/>
  <c r="F19" i="3"/>
  <c r="F23" i="3" s="1"/>
  <c r="F24" i="3" s="1"/>
  <c r="E12" i="5"/>
  <c r="E13" i="5" s="1"/>
  <c r="H97" i="4"/>
  <c r="H43" i="3" s="1"/>
  <c r="G32" i="3"/>
  <c r="K7" i="4"/>
  <c r="K7" i="3" s="1"/>
  <c r="H109" i="4"/>
  <c r="H45" i="3" s="1"/>
  <c r="H55" i="4"/>
  <c r="H34" i="3" s="1"/>
  <c r="H31" i="4"/>
  <c r="H37" i="4" s="1"/>
  <c r="H22" i="3" s="1"/>
  <c r="H85" i="4"/>
  <c r="H41" i="3" s="1"/>
  <c r="H67" i="4"/>
  <c r="H36" i="3" s="1"/>
  <c r="H79" i="4"/>
  <c r="G8" i="5"/>
  <c r="G9" i="5" s="1"/>
  <c r="H103" i="4"/>
  <c r="H44" i="3" s="1"/>
  <c r="H49" i="4"/>
  <c r="H26" i="3" s="1"/>
  <c r="H91" i="4"/>
  <c r="H42" i="3" s="1"/>
  <c r="F14" i="5"/>
  <c r="F20" i="5"/>
  <c r="F11" i="5"/>
  <c r="I9" i="3"/>
  <c r="I10" i="3" s="1"/>
  <c r="K13" i="4"/>
  <c r="K8" i="3" s="1"/>
  <c r="J8" i="3"/>
  <c r="J9" i="3" s="1"/>
  <c r="J9" i="8" l="1"/>
  <c r="J66" i="8"/>
  <c r="J58" i="8"/>
  <c r="J62" i="8"/>
  <c r="J46" i="8"/>
  <c r="J56" i="8"/>
  <c r="J35" i="8"/>
  <c r="J50" i="8"/>
  <c r="J64" i="8"/>
  <c r="J60" i="8"/>
  <c r="I19" i="8"/>
  <c r="I37" i="8"/>
  <c r="I17" i="8" s="1"/>
  <c r="E15" i="5"/>
  <c r="F43" i="4"/>
  <c r="F27" i="3" s="1"/>
  <c r="F29" i="3" s="1"/>
  <c r="F30" i="3" s="1"/>
  <c r="F20" i="3"/>
  <c r="J10" i="3"/>
  <c r="E23" i="5"/>
  <c r="F22" i="5"/>
  <c r="H32" i="3"/>
  <c r="K9" i="3"/>
  <c r="K10" i="3" s="1"/>
  <c r="J97" i="4"/>
  <c r="J43" i="3" s="1"/>
  <c r="J91" i="4"/>
  <c r="J42" i="3" s="1"/>
  <c r="I97" i="4"/>
  <c r="I43" i="3" s="1"/>
  <c r="I91" i="4"/>
  <c r="I42" i="3" s="1"/>
  <c r="J49" i="4"/>
  <c r="J26" i="3" s="1"/>
  <c r="J103" i="4"/>
  <c r="J44" i="3" s="1"/>
  <c r="I49" i="4"/>
  <c r="I26" i="3" s="1"/>
  <c r="I103" i="4"/>
  <c r="I44" i="3" s="1"/>
  <c r="G14" i="5"/>
  <c r="G20" i="5"/>
  <c r="I8" i="5"/>
  <c r="J79" i="4"/>
  <c r="H8" i="5"/>
  <c r="H9" i="5" s="1"/>
  <c r="I79" i="4"/>
  <c r="G11" i="5"/>
  <c r="J109" i="4"/>
  <c r="J45" i="3" s="1"/>
  <c r="I109" i="4"/>
  <c r="I45" i="3" s="1"/>
  <c r="J67" i="4"/>
  <c r="J36" i="3" s="1"/>
  <c r="J85" i="4"/>
  <c r="J41" i="3" s="1"/>
  <c r="I67" i="4"/>
  <c r="I36" i="3" s="1"/>
  <c r="I85" i="4"/>
  <c r="I41" i="3" s="1"/>
  <c r="J31" i="4"/>
  <c r="J37" i="4" s="1"/>
  <c r="J55" i="4"/>
  <c r="J34" i="3" s="1"/>
  <c r="I31" i="4"/>
  <c r="I37" i="4" s="1"/>
  <c r="I55" i="4"/>
  <c r="I34" i="3" s="1"/>
  <c r="H20" i="4"/>
  <c r="I20" i="4"/>
  <c r="J20" i="4"/>
  <c r="K20" i="4"/>
  <c r="G26" i="4"/>
  <c r="H26" i="4"/>
  <c r="I26" i="4"/>
  <c r="J26" i="4"/>
  <c r="K26" i="4"/>
  <c r="J19" i="8" l="1"/>
  <c r="J37" i="8"/>
  <c r="J17" i="8" s="1"/>
  <c r="E17" i="5"/>
  <c r="E19" i="5" s="1"/>
  <c r="E24" i="5" s="1"/>
  <c r="E25" i="5" s="1"/>
  <c r="I9" i="5"/>
  <c r="E16" i="5"/>
  <c r="F41" i="8"/>
  <c r="F42" i="8" s="1"/>
  <c r="F74" i="8" s="1"/>
  <c r="F18" i="8" s="1"/>
  <c r="H39" i="8"/>
  <c r="H40" i="8" s="1"/>
  <c r="J39" i="8"/>
  <c r="J40" i="8" s="1"/>
  <c r="I41" i="8"/>
  <c r="I42" i="8" s="1"/>
  <c r="I74" i="8" s="1"/>
  <c r="I18" i="8" s="1"/>
  <c r="H41" i="8"/>
  <c r="H42" i="8" s="1"/>
  <c r="H74" i="8" s="1"/>
  <c r="H18" i="8" s="1"/>
  <c r="I39" i="8"/>
  <c r="I40" i="8" s="1"/>
  <c r="J41" i="8"/>
  <c r="J42" i="8" s="1"/>
  <c r="J74" i="8" s="1"/>
  <c r="J18" i="8" s="1"/>
  <c r="G41" i="8"/>
  <c r="G42" i="8" s="1"/>
  <c r="G74" i="8" s="1"/>
  <c r="G18" i="8" s="1"/>
  <c r="G39" i="8"/>
  <c r="G40" i="8" s="1"/>
  <c r="G22" i="5"/>
  <c r="K97" i="4"/>
  <c r="K43" i="3" s="1"/>
  <c r="K109" i="4"/>
  <c r="K45" i="3" s="1"/>
  <c r="K79" i="4"/>
  <c r="J8" i="5"/>
  <c r="J9" i="5" s="1"/>
  <c r="K55" i="4"/>
  <c r="K34" i="3" s="1"/>
  <c r="K31" i="4"/>
  <c r="K37" i="4" s="1"/>
  <c r="K22" i="3" s="1"/>
  <c r="K103" i="4"/>
  <c r="K44" i="3" s="1"/>
  <c r="K49" i="4"/>
  <c r="K26" i="3" s="1"/>
  <c r="K85" i="4"/>
  <c r="K41" i="3" s="1"/>
  <c r="K91" i="4"/>
  <c r="K42" i="3" s="1"/>
  <c r="K67" i="4"/>
  <c r="K36" i="3" s="1"/>
  <c r="I32" i="3"/>
  <c r="J32" i="3"/>
  <c r="I22" i="3"/>
  <c r="J22" i="3"/>
  <c r="J19" i="4"/>
  <c r="J12" i="3" s="1"/>
  <c r="K19" i="4"/>
  <c r="K12" i="3" s="1"/>
  <c r="I19" i="4"/>
  <c r="I12" i="3" s="1"/>
  <c r="H19" i="4"/>
  <c r="H12" i="3" s="1"/>
  <c r="G19" i="4"/>
  <c r="G12" i="3" s="1"/>
  <c r="K25" i="4"/>
  <c r="K17" i="3" s="1"/>
  <c r="K115" i="4" s="1"/>
  <c r="J25" i="4"/>
  <c r="J17" i="3" s="1"/>
  <c r="J115" i="4" s="1"/>
  <c r="I25" i="4"/>
  <c r="I17" i="3" s="1"/>
  <c r="I115" i="4" s="1"/>
  <c r="H25" i="4"/>
  <c r="H17" i="3" s="1"/>
  <c r="H115" i="4" s="1"/>
  <c r="G25" i="4"/>
  <c r="G17" i="3" s="1"/>
  <c r="G115" i="4" s="1"/>
  <c r="J10" i="5" l="1"/>
  <c r="E12" i="8"/>
  <c r="E11" i="8" s="1"/>
  <c r="E29" i="8" s="1"/>
  <c r="E30" i="8" s="1"/>
  <c r="I54" i="8"/>
  <c r="I67" i="8" s="1"/>
  <c r="I48" i="8"/>
  <c r="I51" i="8" s="1"/>
  <c r="J54" i="8"/>
  <c r="J67" i="8" s="1"/>
  <c r="J48" i="8"/>
  <c r="J51" i="8" s="1"/>
  <c r="G48" i="8"/>
  <c r="G51" i="8" s="1"/>
  <c r="G54" i="8"/>
  <c r="G67" i="8" s="1"/>
  <c r="H54" i="8"/>
  <c r="H67" i="8" s="1"/>
  <c r="H48" i="8"/>
  <c r="H51" i="8" s="1"/>
  <c r="I21" i="5"/>
  <c r="G21" i="5"/>
  <c r="F21" i="5"/>
  <c r="H21" i="5"/>
  <c r="J21" i="5"/>
  <c r="I22" i="5"/>
  <c r="H22" i="5"/>
  <c r="K32" i="3"/>
  <c r="E27" i="5"/>
  <c r="E31" i="5" s="1"/>
  <c r="H14" i="5"/>
  <c r="H20" i="5"/>
  <c r="I14" i="5"/>
  <c r="I20" i="5"/>
  <c r="J14" i="5"/>
  <c r="J20" i="5"/>
  <c r="H11" i="5"/>
  <c r="I11" i="5"/>
  <c r="J11" i="5"/>
  <c r="F10" i="5"/>
  <c r="F12" i="5" s="1"/>
  <c r="G10" i="5"/>
  <c r="G12" i="5" s="1"/>
  <c r="H10" i="5"/>
  <c r="I10" i="5"/>
  <c r="G73" i="4"/>
  <c r="G39" i="3" s="1"/>
  <c r="G40" i="3"/>
  <c r="H73" i="4"/>
  <c r="H39" i="3" s="1"/>
  <c r="H40" i="3"/>
  <c r="I73" i="4"/>
  <c r="I39" i="3" s="1"/>
  <c r="I40" i="3"/>
  <c r="K73" i="4"/>
  <c r="K39" i="3" s="1"/>
  <c r="K40" i="3"/>
  <c r="J73" i="4"/>
  <c r="J39" i="3" s="1"/>
  <c r="J40" i="3"/>
  <c r="G14" i="3"/>
  <c r="G15" i="3" s="1"/>
  <c r="G61" i="4"/>
  <c r="G35" i="3" s="1"/>
  <c r="G37" i="3" s="1"/>
  <c r="H14" i="3"/>
  <c r="H15" i="3" s="1"/>
  <c r="H61" i="4"/>
  <c r="H35" i="3" s="1"/>
  <c r="H37" i="3" s="1"/>
  <c r="I14" i="3"/>
  <c r="I15" i="3" s="1"/>
  <c r="I61" i="4"/>
  <c r="I35" i="3" s="1"/>
  <c r="I37" i="3" s="1"/>
  <c r="K14" i="3"/>
  <c r="K15" i="3" s="1"/>
  <c r="K61" i="4"/>
  <c r="K35" i="3" s="1"/>
  <c r="K37" i="3" s="1"/>
  <c r="J14" i="3"/>
  <c r="J15" i="3" s="1"/>
  <c r="J61" i="4"/>
  <c r="J35" i="3" s="1"/>
  <c r="J37" i="3" s="1"/>
  <c r="E14" i="8" l="1"/>
  <c r="E16" i="8" s="1"/>
  <c r="E21" i="8" s="1"/>
  <c r="E23" i="8" s="1"/>
  <c r="E27" i="8" s="1"/>
  <c r="J70" i="8"/>
  <c r="H70" i="8"/>
  <c r="I70" i="8"/>
  <c r="G70" i="8"/>
  <c r="G71" i="8" s="1"/>
  <c r="J22" i="5"/>
  <c r="J12" i="5"/>
  <c r="P8" i="5" s="1"/>
  <c r="I12" i="5"/>
  <c r="I13" i="5" s="1"/>
  <c r="H12" i="5"/>
  <c r="H13" i="5" s="1"/>
  <c r="G13" i="5"/>
  <c r="G15" i="5"/>
  <c r="F13" i="5"/>
  <c r="F15" i="5"/>
  <c r="J46" i="3"/>
  <c r="J48" i="3" s="1"/>
  <c r="K46" i="3"/>
  <c r="K48" i="3" s="1"/>
  <c r="I46" i="3"/>
  <c r="I48" i="3" s="1"/>
  <c r="H46" i="3"/>
  <c r="H48" i="3" s="1"/>
  <c r="G46" i="3"/>
  <c r="G48" i="3" s="1"/>
  <c r="I19" i="3"/>
  <c r="K19" i="3"/>
  <c r="J19" i="3"/>
  <c r="H19" i="3"/>
  <c r="G19" i="3"/>
  <c r="E24" i="8" l="1"/>
  <c r="G20" i="8"/>
  <c r="I71" i="8"/>
  <c r="I20" i="8" s="1"/>
  <c r="J71" i="8"/>
  <c r="J20" i="8" s="1"/>
  <c r="H71" i="8"/>
  <c r="H20" i="8" s="1"/>
  <c r="G49" i="3"/>
  <c r="J43" i="4"/>
  <c r="J27" i="3" s="1"/>
  <c r="J29" i="3" s="1"/>
  <c r="J30" i="3" s="1"/>
  <c r="H43" i="4"/>
  <c r="H27" i="3" s="1"/>
  <c r="H29" i="3" s="1"/>
  <c r="H30" i="3" s="1"/>
  <c r="G43" i="4"/>
  <c r="G27" i="3" s="1"/>
  <c r="G29" i="3" s="1"/>
  <c r="G30" i="3" s="1"/>
  <c r="K43" i="4"/>
  <c r="K27" i="3" s="1"/>
  <c r="K29" i="3" s="1"/>
  <c r="K30" i="3" s="1"/>
  <c r="I43" i="4"/>
  <c r="I27" i="3" s="1"/>
  <c r="I29" i="3" s="1"/>
  <c r="I30" i="3" s="1"/>
  <c r="J13" i="5"/>
  <c r="P10" i="5"/>
  <c r="P13" i="5" s="1"/>
  <c r="I15" i="5"/>
  <c r="J15" i="5"/>
  <c r="F16" i="5"/>
  <c r="F17" i="5"/>
  <c r="F19" i="5" s="1"/>
  <c r="G16" i="5"/>
  <c r="G17" i="5"/>
  <c r="G19" i="5" s="1"/>
  <c r="H15" i="5"/>
  <c r="K49" i="3"/>
  <c r="H49" i="3"/>
  <c r="I49" i="3"/>
  <c r="J49" i="3"/>
  <c r="I20" i="3"/>
  <c r="I23" i="3"/>
  <c r="I24" i="3" s="1"/>
  <c r="K20" i="3"/>
  <c r="K23" i="3"/>
  <c r="K24" i="3" s="1"/>
  <c r="J23" i="3"/>
  <c r="J24" i="3" s="1"/>
  <c r="J20" i="3"/>
  <c r="G23" i="3"/>
  <c r="G24" i="3" s="1"/>
  <c r="G20" i="3"/>
  <c r="H23" i="3"/>
  <c r="H24" i="3" s="1"/>
  <c r="H20" i="3"/>
  <c r="G12" i="8" l="1"/>
  <c r="G11" i="8" s="1"/>
  <c r="G29" i="8" s="1"/>
  <c r="F12" i="8"/>
  <c r="F11" i="8" s="1"/>
  <c r="F29" i="8" s="1"/>
  <c r="F23" i="5"/>
  <c r="F24" i="5" s="1"/>
  <c r="H23" i="5"/>
  <c r="G23" i="5"/>
  <c r="G24" i="5" s="1"/>
  <c r="J23" i="5"/>
  <c r="I23" i="5"/>
  <c r="J16" i="5"/>
  <c r="I17" i="5"/>
  <c r="I19" i="5" s="1"/>
  <c r="I16" i="5"/>
  <c r="J17" i="5"/>
  <c r="J19" i="5" s="1"/>
  <c r="H16" i="5"/>
  <c r="H17" i="5"/>
  <c r="H19" i="5" s="1"/>
  <c r="H12" i="8" l="1"/>
  <c r="H11" i="8" s="1"/>
  <c r="I12" i="8"/>
  <c r="I11" i="8" s="1"/>
  <c r="J12" i="8"/>
  <c r="J11" i="8" s="1"/>
  <c r="F30" i="8"/>
  <c r="F14" i="8"/>
  <c r="F16" i="8" s="1"/>
  <c r="G14" i="8"/>
  <c r="G16" i="8" s="1"/>
  <c r="G21" i="8" s="1"/>
  <c r="G23" i="8" s="1"/>
  <c r="G30" i="8"/>
  <c r="G25" i="5"/>
  <c r="G27" i="5" s="1"/>
  <c r="G31" i="5" s="1"/>
  <c r="F25" i="5"/>
  <c r="F27" i="5" s="1"/>
  <c r="F31" i="5" s="1"/>
  <c r="J24" i="5"/>
  <c r="I24" i="5"/>
  <c r="H24" i="5"/>
  <c r="F21" i="8" l="1"/>
  <c r="F23" i="8" s="1"/>
  <c r="G24" i="8"/>
  <c r="G27" i="8"/>
  <c r="I14" i="8"/>
  <c r="I16" i="8" s="1"/>
  <c r="I21" i="8" s="1"/>
  <c r="I23" i="8" s="1"/>
  <c r="I29" i="8"/>
  <c r="I30" i="8" s="1"/>
  <c r="J29" i="8"/>
  <c r="J14" i="8"/>
  <c r="J16" i="8" s="1"/>
  <c r="J21" i="8" s="1"/>
  <c r="H14" i="8"/>
  <c r="H16" i="8" s="1"/>
  <c r="H21" i="8" s="1"/>
  <c r="H23" i="8" s="1"/>
  <c r="H29" i="8"/>
  <c r="H30" i="8" s="1"/>
  <c r="H25" i="5"/>
  <c r="H27" i="5" s="1"/>
  <c r="H31" i="5" s="1"/>
  <c r="I25" i="5"/>
  <c r="I27" i="5" s="1"/>
  <c r="I31" i="5" s="1"/>
  <c r="M8" i="5"/>
  <c r="J25" i="5"/>
  <c r="J27" i="5" s="1"/>
  <c r="J31" i="5" s="1"/>
  <c r="F27" i="8" l="1"/>
  <c r="F24" i="8"/>
  <c r="J23" i="8"/>
  <c r="R8" i="8" s="1"/>
  <c r="R10" i="8" s="1"/>
  <c r="R13" i="8" s="1"/>
  <c r="H27" i="8"/>
  <c r="H24" i="8"/>
  <c r="I24" i="8"/>
  <c r="I27" i="8"/>
  <c r="O8" i="8"/>
  <c r="J30" i="8"/>
  <c r="M12" i="5"/>
  <c r="M10" i="5"/>
  <c r="P12" i="5"/>
  <c r="P14" i="5" s="1"/>
  <c r="P19" i="5" s="1"/>
  <c r="P22" i="5" s="1"/>
  <c r="J27" i="8" l="1"/>
  <c r="R12" i="8" s="1"/>
  <c r="R14" i="8" s="1"/>
  <c r="R19" i="8" s="1"/>
  <c r="J24" i="8"/>
  <c r="O10" i="8"/>
  <c r="O13" i="8" s="1"/>
  <c r="P17" i="5"/>
  <c r="P16" i="5"/>
  <c r="M13" i="5"/>
  <c r="M14" i="5" s="1"/>
  <c r="P24" i="5"/>
  <c r="O12" i="8" l="1"/>
  <c r="O14" i="8" s="1"/>
  <c r="O19" i="8" s="1"/>
  <c r="O22" i="8" s="1"/>
  <c r="O24" i="8" s="1"/>
  <c r="O25" i="8" s="1"/>
  <c r="R17" i="8"/>
  <c r="R16" i="8"/>
  <c r="R22" i="8"/>
  <c r="R24" i="8" s="1"/>
  <c r="R25" i="8" s="1"/>
  <c r="M17" i="5"/>
  <c r="M19" i="5"/>
  <c r="M16" i="5"/>
  <c r="P25" i="5"/>
  <c r="G6" i="2"/>
  <c r="O16" i="8" l="1"/>
  <c r="O17" i="8"/>
  <c r="M22" i="5"/>
  <c r="M24" i="5" s="1"/>
  <c r="M25" i="5" l="1"/>
  <c r="M33" i="5"/>
  <c r="M34" i="5" s="1"/>
  <c r="G9" i="2" s="1"/>
  <c r="G7" i="2"/>
  <c r="G8" i="2" l="1"/>
  <c r="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Hayden Hofacker</author>
  </authors>
  <commentList>
    <comment ref="P9" authorId="0" shapeId="0" xr:uid="{FB7525AA-77A2-43AD-B174-2D2B0FCA089D}">
      <text>
        <r>
          <rPr>
            <b/>
            <sz val="9"/>
            <color indexed="81"/>
            <rFont val="Tahoma"/>
            <family val="2"/>
          </rPr>
          <t>TEV/NTM EBITDA of comps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Hayden Hofacker</author>
  </authors>
  <commentList>
    <comment ref="O9" authorId="0" shapeId="0" xr:uid="{3B99B265-8D01-40D9-BAEB-73FC84BB5ABF}">
      <text>
        <r>
          <rPr>
            <b/>
            <sz val="9"/>
            <color indexed="81"/>
            <rFont val="Tahoma"/>
            <family val="2"/>
          </rPr>
          <t>TEV/NTM EBITDA of comps</t>
        </r>
      </text>
    </comment>
  </commentList>
</comments>
</file>

<file path=xl/sharedStrings.xml><?xml version="1.0" encoding="utf-8"?>
<sst xmlns="http://schemas.openxmlformats.org/spreadsheetml/2006/main" count="481" uniqueCount="258">
  <si>
    <t>Net retail sales</t>
  </si>
  <si>
    <t>Net other revenue</t>
  </si>
  <si>
    <t>Total net revenues</t>
  </si>
  <si>
    <t>Cost of sales</t>
  </si>
  <si>
    <t>Operating, general and administrative</t>
  </si>
  <si>
    <t>Total operating cost and expenses</t>
  </si>
  <si>
    <t>Operating loss</t>
  </si>
  <si>
    <t>Interest income</t>
  </si>
  <si>
    <t>Interest expense</t>
  </si>
  <si>
    <t>Other (expense) income, net</t>
  </si>
  <si>
    <t>Loss before income taxes</t>
  </si>
  <si>
    <t>Income tax (benefit) expense</t>
  </si>
  <si>
    <t>Net loss</t>
  </si>
  <si>
    <t>Assets</t>
  </si>
  <si>
    <t>Cash and cash equivalents</t>
  </si>
  <si>
    <t>Restricted cash</t>
  </si>
  <si>
    <t>Accounts receivable, net</t>
  </si>
  <si>
    <t>Inventories</t>
  </si>
  <si>
    <t>Prepaids and other current assets</t>
  </si>
  <si>
    <t>Total current assets</t>
  </si>
  <si>
    <t>Long-term restricted cash</t>
  </si>
  <si>
    <t>Property and equipment, net</t>
  </si>
  <si>
    <t>Operating lease right-of-use assets</t>
  </si>
  <si>
    <t>Long-term lease deposits and other</t>
  </si>
  <si>
    <t>Total assets</t>
  </si>
  <si>
    <t>Liabilities and stockholders' equity</t>
  </si>
  <si>
    <t>Accounts payable</t>
  </si>
  <si>
    <t>Accrued expenses</t>
  </si>
  <si>
    <t>Deferred revenue</t>
  </si>
  <si>
    <t>Short-term borrowings</t>
  </si>
  <si>
    <t>Current portion of long-term debt</t>
  </si>
  <si>
    <t>Current portion of long-term operating lease obligations</t>
  </si>
  <si>
    <t>Other current liabilities</t>
  </si>
  <si>
    <t>Total current liabilities</t>
  </si>
  <si>
    <t>Long-term debt</t>
  </si>
  <si>
    <t>Long-term operating lease obligations</t>
  </si>
  <si>
    <t>Defined severance benefits and other</t>
  </si>
  <si>
    <t>Total liabilities</t>
  </si>
  <si>
    <t>Stockholders' equity</t>
  </si>
  <si>
    <t>Class A common stock, $</t>
  </si>
  <si>
    <t>Additional paid-in capital</t>
  </si>
  <si>
    <t>Accumulated other comprehensive income (loss)</t>
  </si>
  <si>
    <t>Accumulated deficit</t>
  </si>
  <si>
    <t>Total stockholders' equity</t>
  </si>
  <si>
    <t>Total liabilities and stockholders' equity</t>
  </si>
  <si>
    <t>Operating Activities</t>
  </si>
  <si>
    <t>Adjustments to reconcile net loss to net cash provided by (used in) operating activities:</t>
  </si>
  <si>
    <t>Depreciation and amortization</t>
  </si>
  <si>
    <t>Provision for severance benefits</t>
  </si>
  <si>
    <t>Equity-based compensation</t>
  </si>
  <si>
    <t>Paid-in-kind interest and accretion of discount on convertible notes</t>
  </si>
  <si>
    <t>Revaluation of derivative instrument</t>
  </si>
  <si>
    <t>Inventory and fixed asset losses due to fulfillment center fire</t>
  </si>
  <si>
    <t>Non-cash operating lease expense</t>
  </si>
  <si>
    <t>Non-cash others</t>
  </si>
  <si>
    <t>Change in operating assets and liabilities:</t>
  </si>
  <si>
    <t>Other assets</t>
  </si>
  <si>
    <t>Other liabilities</t>
  </si>
  <si>
    <t>Net cash provided by (used in) operating activities</t>
  </si>
  <si>
    <t>Investing activities</t>
  </si>
  <si>
    <t>Purchases of property and equipment</t>
  </si>
  <si>
    <t>Proceeds from sale of property and equipment</t>
  </si>
  <si>
    <t>Other investing activities</t>
  </si>
  <si>
    <t>Net cash used in investing activities</t>
  </si>
  <si>
    <t>Financing activities</t>
  </si>
  <si>
    <t>Deferred offering costs paid</t>
  </si>
  <si>
    <t>Proceeds from issuance of common stock/units, equity-based compensation plan</t>
  </si>
  <si>
    <t>Net short-term borrowings and other financing activities</t>
  </si>
  <si>
    <t>Net cash provided by financing activities</t>
  </si>
  <si>
    <t>Effect of exchange rate changes on cash and cash equivalents, and restricted cash</t>
  </si>
  <si>
    <t>Cash and cash equivalents, and restricted cash, as of beginning of period</t>
  </si>
  <si>
    <t>Cash and cash equivalents, and restricted cash, as of end of period</t>
  </si>
  <si>
    <t>Valuation Date</t>
  </si>
  <si>
    <t>DCF Valuation:</t>
  </si>
  <si>
    <t xml:space="preserve">Current Share Price </t>
  </si>
  <si>
    <t xml:space="preserve">Exit Multiple Method </t>
  </si>
  <si>
    <t>Case (Adjustable)</t>
  </si>
  <si>
    <t xml:space="preserve">Blended Share Price </t>
  </si>
  <si>
    <t>Base</t>
  </si>
  <si>
    <t xml:space="preserve">Upside/Downside </t>
  </si>
  <si>
    <t xml:space="preserve">Bull </t>
  </si>
  <si>
    <t>Bear</t>
  </si>
  <si>
    <t>Coupang</t>
  </si>
  <si>
    <t>Operating Model</t>
  </si>
  <si>
    <t>% Growth</t>
  </si>
  <si>
    <t>COGS</t>
  </si>
  <si>
    <t>Gross Profit</t>
  </si>
  <si>
    <t>% Margin</t>
  </si>
  <si>
    <t>Net Retail Sales</t>
  </si>
  <si>
    <t>Net Other Revnue</t>
  </si>
  <si>
    <t>Total Revenue</t>
  </si>
  <si>
    <t>EBIT</t>
  </si>
  <si>
    <t>(+) Depreciation &amp; Amortization</t>
  </si>
  <si>
    <t>(-) Other Expense</t>
  </si>
  <si>
    <t>Capital Expenditures</t>
  </si>
  <si>
    <t>Effective Tax Rate</t>
  </si>
  <si>
    <t>Accounts Receivable</t>
  </si>
  <si>
    <t>Inventory</t>
  </si>
  <si>
    <t>Non-Cash Current Assets</t>
  </si>
  <si>
    <t>Non-Cash Current Liabilities</t>
  </si>
  <si>
    <t>Net Working Capital</t>
  </si>
  <si>
    <t>Change in NWC</t>
  </si>
  <si>
    <t>(-) Tax (expense)/Benefit</t>
  </si>
  <si>
    <t>Net Other Revenue</t>
  </si>
  <si>
    <t>Step</t>
  </si>
  <si>
    <t>Commentary</t>
  </si>
  <si>
    <t>Cost of Sales</t>
  </si>
  <si>
    <t xml:space="preserve">% of Total Revenue </t>
  </si>
  <si>
    <t>% of Revenue</t>
  </si>
  <si>
    <t xml:space="preserve"> </t>
  </si>
  <si>
    <t>Depreciation and Amortization</t>
  </si>
  <si>
    <t>% of Capex</t>
  </si>
  <si>
    <t>Tax Expense</t>
  </si>
  <si>
    <t>NOPAT</t>
  </si>
  <si>
    <t>Note: EBITDA</t>
  </si>
  <si>
    <t>Accounts Payable</t>
  </si>
  <si>
    <t>Accrued Expenses</t>
  </si>
  <si>
    <t>Deferred Revenue</t>
  </si>
  <si>
    <t>Short-Term Borrowings</t>
  </si>
  <si>
    <t>Current Portion of Long-Term Debt</t>
  </si>
  <si>
    <t>Current Portion of Long-Term Operating Lease Obligations</t>
  </si>
  <si>
    <t>Other Current Liabilities</t>
  </si>
  <si>
    <t>% of COGS</t>
  </si>
  <si>
    <t>Prepaid Expenses and Other Current Assets</t>
  </si>
  <si>
    <t>Revenue</t>
  </si>
  <si>
    <t>(-) Operating Expenses</t>
  </si>
  <si>
    <t>EBITDA</t>
  </si>
  <si>
    <t>(-) Depreciation &amp; Amortization</t>
  </si>
  <si>
    <t xml:space="preserve">EBIT </t>
  </si>
  <si>
    <t>(-) Taxes</t>
  </si>
  <si>
    <t>% Effective Tax Rate</t>
  </si>
  <si>
    <t>(-) Capital Expenditures</t>
  </si>
  <si>
    <t>(-) Change in Net Working Capital</t>
  </si>
  <si>
    <t>UFCF (excl. SBC)</t>
  </si>
  <si>
    <t>(-) Stub-Year</t>
  </si>
  <si>
    <t>FCF For Discounting</t>
  </si>
  <si>
    <t>Discount Period</t>
  </si>
  <si>
    <t>Discount Factor</t>
  </si>
  <si>
    <t>PV of UFCF</t>
  </si>
  <si>
    <t>2024E</t>
  </si>
  <si>
    <t>2025E</t>
  </si>
  <si>
    <t>2026E</t>
  </si>
  <si>
    <t>2027E</t>
  </si>
  <si>
    <t>2028E</t>
  </si>
  <si>
    <t>Operating, General, and Administrative Expenses</t>
  </si>
  <si>
    <t>Operating, General and Administrative Expenses</t>
  </si>
  <si>
    <t>(+) Stock-Based Compensation</t>
  </si>
  <si>
    <t>Stock-Based Compensation</t>
  </si>
  <si>
    <t>% of OG&amp;A</t>
  </si>
  <si>
    <t>Other Income/(Expense)</t>
  </si>
  <si>
    <t>(-) Current portion of long-term operating lease obligations</t>
  </si>
  <si>
    <t>(-) Short-term borrowings</t>
  </si>
  <si>
    <t>(-) Current portion of long-term debt</t>
  </si>
  <si>
    <t>Year End Date</t>
  </si>
  <si>
    <t>Weighted Average Cost of Capital</t>
  </si>
  <si>
    <t xml:space="preserve">Market Risk Premium </t>
  </si>
  <si>
    <t xml:space="preserve">Adjusted Beta </t>
  </si>
  <si>
    <t xml:space="preserve">Risk Free Rate </t>
  </si>
  <si>
    <t xml:space="preserve">Cost of Equity </t>
  </si>
  <si>
    <t xml:space="preserve">Pre-Tax Cost of Debt </t>
  </si>
  <si>
    <t>Tax Rate</t>
  </si>
  <si>
    <t>Cost of Debt</t>
  </si>
  <si>
    <t xml:space="preserve">Total Equity </t>
  </si>
  <si>
    <t xml:space="preserve">Total Debt </t>
  </si>
  <si>
    <t xml:space="preserve">Equity / Total Capitalization </t>
  </si>
  <si>
    <t xml:space="preserve">Debt / Total Capitalization </t>
  </si>
  <si>
    <t>WACC</t>
  </si>
  <si>
    <t>Bloomberg Adjusted</t>
  </si>
  <si>
    <t>10 Yr Treasury Yield</t>
  </si>
  <si>
    <t>Bloomberg Sourced</t>
  </si>
  <si>
    <t>Exit Multiple Method</t>
  </si>
  <si>
    <t>Terminal EBITDA</t>
  </si>
  <si>
    <t>Terminal Multiple</t>
  </si>
  <si>
    <t>Terminal Value</t>
  </si>
  <si>
    <t>PV of Period Cash Flow</t>
  </si>
  <si>
    <t>PV of Terminal Value</t>
  </si>
  <si>
    <t>Total</t>
  </si>
  <si>
    <t>Period Cash Flow</t>
  </si>
  <si>
    <t>Terminal Cash Flow</t>
  </si>
  <si>
    <t>Total EV</t>
  </si>
  <si>
    <t>(-) Debt</t>
  </si>
  <si>
    <t>(+) Cash</t>
  </si>
  <si>
    <t>Equity Value</t>
  </si>
  <si>
    <t xml:space="preserve">Equity Value </t>
  </si>
  <si>
    <t>SHO</t>
  </si>
  <si>
    <t xml:space="preserve">SHO </t>
  </si>
  <si>
    <t>Share Price</t>
  </si>
  <si>
    <t xml:space="preserve">Share Price </t>
  </si>
  <si>
    <t>Upside/(Downside)</t>
  </si>
  <si>
    <t>Blended Share Price</t>
  </si>
  <si>
    <t>Perepetuity Growth Method</t>
  </si>
  <si>
    <t>Implied Share Price</t>
  </si>
  <si>
    <t xml:space="preserve">Total EV </t>
  </si>
  <si>
    <t>Income Statement</t>
  </si>
  <si>
    <t>Balance Sheet</t>
  </si>
  <si>
    <t>Statement of Cash Flows</t>
  </si>
  <si>
    <t xml:space="preserve">Perpetuity Growth Method </t>
  </si>
  <si>
    <t>Perpetuity Growth Method</t>
  </si>
  <si>
    <t>Perpetuity Growth Rate</t>
  </si>
  <si>
    <t>Upside / (Downside)</t>
  </si>
  <si>
    <t>Upside /(Downside)</t>
  </si>
  <si>
    <t>Case</t>
  </si>
  <si>
    <t>Sell-side believes management will be able to cut general costs as the business matures, which we reflect with a step down beyond 2025. As developing offerings are more efficiently integrated, selling and R&amp;D costs will also begin to fall</t>
  </si>
  <si>
    <t>Inventory numbers stepped down to account for greater share of fulfillment business</t>
  </si>
  <si>
    <t>Net income (loss)</t>
  </si>
  <si>
    <t>Proceeds from issuance of Class A common stock upon initial public offering, net of underwriting discounts</t>
  </si>
  <si>
    <t>Proceeds from short-term borrowings and long-term debt</t>
  </si>
  <si>
    <t>Repayment of short-term borrowings and long-term debt</t>
  </si>
  <si>
    <t>Net increase (decrease) in cash and cash equivalents, and restricted cash</t>
  </si>
  <si>
    <t>2029E</t>
  </si>
  <si>
    <t>2023A</t>
  </si>
  <si>
    <t>2022A</t>
  </si>
  <si>
    <t>Free Cash Flow</t>
  </si>
  <si>
    <t>Pro Forma</t>
  </si>
  <si>
    <t>Note: Since Q2 2023, avg. multiple is 32.0x</t>
  </si>
  <si>
    <t>Note: Current avg. multiple is 25.8x</t>
  </si>
  <si>
    <t>2029E UFCF</t>
  </si>
  <si>
    <t>Memo: Key Assumptions</t>
  </si>
  <si>
    <t xml:space="preserve">  Accounts Receivable</t>
  </si>
  <si>
    <t xml:space="preserve">  Inventory</t>
  </si>
  <si>
    <t xml:space="preserve">  Accounts Receivable, as a % of Revenue</t>
  </si>
  <si>
    <t xml:space="preserve">  Prepaid Expenses and Other Current Assets, as a % of Revenue</t>
  </si>
  <si>
    <t xml:space="preserve">  Non-cash Current Assets</t>
  </si>
  <si>
    <t xml:space="preserve">  Accounts Payable</t>
  </si>
  <si>
    <t xml:space="preserve">  Accrued Expenses</t>
  </si>
  <si>
    <t xml:space="preserve">  Accrued Expenses, as a % of Revenue</t>
  </si>
  <si>
    <t xml:space="preserve">  Deferred Revenue</t>
  </si>
  <si>
    <t xml:space="preserve">  Deferred Revenue, as a % of Revenue</t>
  </si>
  <si>
    <t>CapEx, as a % of Revenue</t>
  </si>
  <si>
    <t>D&amp;A, as a % of CapEx</t>
  </si>
  <si>
    <t xml:space="preserve">  Other current liabilities, as a % of Revenue</t>
  </si>
  <si>
    <t xml:space="preserve">  Other current liabilities</t>
  </si>
  <si>
    <t xml:space="preserve">  (-) Current portion of long-term operating lease obligations</t>
  </si>
  <si>
    <t xml:space="preserve">      Current portion of long-term operating lease obligations, as a % of Revenue</t>
  </si>
  <si>
    <t xml:space="preserve">  (-) Current portion of long-term debt</t>
  </si>
  <si>
    <t xml:space="preserve">      Current portion of long-term debt, as a % of Revenue</t>
  </si>
  <si>
    <t xml:space="preserve">  (-) Short-term borrowings</t>
  </si>
  <si>
    <t xml:space="preserve">      Short-term borrowings, as a % of Revenue</t>
  </si>
  <si>
    <t xml:space="preserve">  Prepaid Expenses and Other Current Assets</t>
  </si>
  <si>
    <t xml:space="preserve">  Inventory, as a % of COGS</t>
  </si>
  <si>
    <t>Operating, General, &amp; Administrative</t>
  </si>
  <si>
    <t xml:space="preserve">  Accounts payable, as a % of COGS</t>
  </si>
  <si>
    <t xml:space="preserve">  Non-Cash Current Liabilities</t>
  </si>
  <si>
    <t xml:space="preserve">  Net Working Capital</t>
  </si>
  <si>
    <t>Note: 2023A</t>
  </si>
  <si>
    <t>Stock Based Compensation</t>
  </si>
  <si>
    <t>Stock Based Compensation, as a % of OG&amp;A</t>
  </si>
  <si>
    <t>Depreciation &amp; Amortization</t>
  </si>
  <si>
    <t>COGS, as a % of Revenue</t>
  </si>
  <si>
    <t>OG&amp;A, as a % of Revenue</t>
  </si>
  <si>
    <t>Core retail business expected to see steady revenue growth - we are in line with consensus through 2026 with a steady stepdown thereafter, based on market saturation</t>
  </si>
  <si>
    <t>Slightly higher than consensus through 2025, stays steady thereafter due to our conviction in the fulfillment business and Devloping Offerings</t>
  </si>
  <si>
    <t>Stepped down through 2028 due to impact of increased fulfillment as a % of revenue, which we estimate to cut product costs by ~3%</t>
  </si>
  <si>
    <t>Analysts believe CapEx will gradually fall as the company matures. Management has been very aggressive in recent years (i.e. ~$900mm 2023 CapEx), which will allow them to turn more profitable moving through the projection period</t>
  </si>
  <si>
    <t>Based on company guidance in earnings call</t>
  </si>
  <si>
    <t>x</t>
  </si>
  <si>
    <t>Operating Model Assumptions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</si>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</sst>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&quot;E&quot;"/>
    <numFmt numFmtId="165" formatCode="_(#,##0.00%_);\(#,##0.00%\);_(&quot;–&quot;_)_%;_(@_)_%"/>
    <numFmt numFmtId="166" formatCode="0&quot;A&quot;"/>
    <numFmt numFmtId="167" formatCode="0&quot;E&quot;"/>
    <numFmt numFmtId="168" formatCode="0.0%"/>
    <numFmt numFmtId="169" formatCode="&quot;$&quot;#,##0.0_);\(&quot;$&quot;#,##0.0\)"/>
    <numFmt numFmtId="170" formatCode="_(#,##0.0%_);\(#,##0.0%\);_(&quot;–&quot;_)_%;_(@_)_%"/>
    <numFmt numFmtId="171" formatCode="#,##0.0_);\(#,##0.0\)"/>
    <numFmt numFmtId="172" formatCode="_(* #,##0.0_);_(* \(#,##0.0\);_(* &quot;-&quot;?_);_(@_)"/>
    <numFmt numFmtId="173" formatCode="0.0&quot;x&quot;"/>
    <numFmt numFmtId="174" formatCode="&quot;$&quot;#,##0.00"/>
    <numFmt numFmtId="175" formatCode="#,##0.0"/>
    <numFmt numFmtId="176" formatCode="0.00_);\(0.00\)"/>
    <numFmt numFmtId="177" formatCode="_(\$* #,##0_);_(\$* \(#,##0\);_(\$* &quot;-&quot;_);_(@_)"/>
    <numFmt numFmtId="178" formatCode="_(#,##0_);_(\(#,##0\);_(&quot;-&quot;_);_(@_)"/>
    <numFmt numFmtId="179" formatCode="#,##0.00000000000_);\(#,##0.000000000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rgb="FF0000FF"/>
      <name val="Garamond"/>
      <family val="1"/>
    </font>
    <font>
      <b/>
      <sz val="11"/>
      <color theme="1"/>
      <name val="Garamond"/>
      <family val="1"/>
    </font>
    <font>
      <b/>
      <sz val="11"/>
      <color rgb="FF0000FF"/>
      <name val="Garamond"/>
      <family val="1"/>
    </font>
    <font>
      <i/>
      <sz val="11"/>
      <color theme="1"/>
      <name val="Garamond"/>
      <family val="1"/>
    </font>
    <font>
      <b/>
      <sz val="11"/>
      <color rgb="FF00B050"/>
      <name val="Garamond"/>
      <family val="1"/>
    </font>
    <font>
      <i/>
      <sz val="11"/>
      <color rgb="FF0000FF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b/>
      <sz val="9"/>
      <color indexed="81"/>
      <name val="Tahoma"/>
      <family val="2"/>
    </font>
    <font>
      <sz val="11"/>
      <color theme="4"/>
      <name val="Garamond"/>
      <family val="1"/>
    </font>
    <font>
      <sz val="11"/>
      <color rgb="FF00B050"/>
      <name val="Garamond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theme="1"/>
      <name val="Garamond"/>
      <family val="1"/>
    </font>
    <font>
      <sz val="8"/>
      <name val="Calibri"/>
      <family val="2"/>
      <scheme val="minor"/>
    </font>
    <font>
      <i/>
      <sz val="11"/>
      <color rgb="FF00B05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4" fillId="0" borderId="0"/>
    <xf numFmtId="42" fontId="18" fillId="0" borderId="0" applyFont="0" applyFill="0" applyBorder="0" applyAlignment="0" applyProtection="0"/>
    <xf numFmtId="0" fontId="14" fillId="0" borderId="0"/>
    <xf numFmtId="41" fontId="18" fillId="0" borderId="0" applyFont="0" applyFill="0" applyBorder="0" applyAlignment="0" applyProtection="0"/>
    <xf numFmtId="44" fontId="1" fillId="0" borderId="0"/>
    <xf numFmtId="44" fontId="14" fillId="0" borderId="0"/>
    <xf numFmtId="0" fontId="16" fillId="8" borderId="0"/>
    <xf numFmtId="0" fontId="17" fillId="0" borderId="0"/>
    <xf numFmtId="0" fontId="19" fillId="0" borderId="0">
      <alignment vertical="top"/>
      <protection locked="0"/>
    </xf>
    <xf numFmtId="0" fontId="1" fillId="0" borderId="0"/>
    <xf numFmtId="0" fontId="14" fillId="0" borderId="0"/>
    <xf numFmtId="9" fontId="1" fillId="0" borderId="0"/>
    <xf numFmtId="0" fontId="1" fillId="0" borderId="0"/>
    <xf numFmtId="44" fontId="14" fillId="0" borderId="0" applyFont="0" applyFill="0" applyBorder="0" applyAlignment="0" applyProtection="0"/>
    <xf numFmtId="0" fontId="14" fillId="0" borderId="0"/>
    <xf numFmtId="0" fontId="1" fillId="0" borderId="0"/>
    <xf numFmtId="0" fontId="17" fillId="0" borderId="0" applyNumberFormat="0" applyFill="0" applyBorder="0" applyAlignment="0" applyProtection="0"/>
    <xf numFmtId="0" fontId="16" fillId="8" borderId="0" applyNumberFormat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</cellStyleXfs>
  <cellXfs count="153">
    <xf numFmtId="0" fontId="0" fillId="0" borderId="0" xfId="0"/>
    <xf numFmtId="0" fontId="2" fillId="0" borderId="0" xfId="0" applyFont="1"/>
    <xf numFmtId="164" fontId="3" fillId="2" borderId="0" xfId="0" applyNumberFormat="1" applyFont="1" applyFill="1" applyAlignment="1">
      <alignment horizontal="center"/>
    </xf>
    <xf numFmtId="0" fontId="3" fillId="3" borderId="0" xfId="0" applyFont="1" applyFill="1"/>
    <xf numFmtId="0" fontId="4" fillId="0" borderId="0" xfId="0" applyFont="1"/>
    <xf numFmtId="0" fontId="2" fillId="3" borderId="0" xfId="0" applyFont="1" applyFill="1"/>
    <xf numFmtId="8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7" fontId="2" fillId="0" borderId="0" xfId="0" applyNumberFormat="1" applyFont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7" fontId="4" fillId="0" borderId="1" xfId="0" applyNumberFormat="1" applyFont="1" applyBorder="1"/>
    <xf numFmtId="165" fontId="6" fillId="0" borderId="0" xfId="0" applyNumberFormat="1" applyFont="1"/>
    <xf numFmtId="169" fontId="7" fillId="0" borderId="0" xfId="0" applyNumberFormat="1" applyFont="1"/>
    <xf numFmtId="169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170" fontId="6" fillId="3" borderId="0" xfId="0" applyNumberFormat="1" applyFont="1" applyFill="1"/>
    <xf numFmtId="170" fontId="8" fillId="2" borderId="2" xfId="0" applyNumberFormat="1" applyFont="1" applyFill="1" applyBorder="1"/>
    <xf numFmtId="10" fontId="2" fillId="0" borderId="0" xfId="0" applyNumberFormat="1" applyFont="1"/>
    <xf numFmtId="168" fontId="6" fillId="3" borderId="0" xfId="1" applyNumberFormat="1" applyFont="1" applyFill="1"/>
    <xf numFmtId="0" fontId="2" fillId="3" borderId="0" xfId="2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4" fillId="3" borderId="0" xfId="2" applyFont="1" applyFill="1" applyAlignment="1">
      <alignment horizontal="left"/>
    </xf>
    <xf numFmtId="169" fontId="4" fillId="3" borderId="0" xfId="2" applyNumberFormat="1" applyFont="1" applyFill="1"/>
    <xf numFmtId="170" fontId="6" fillId="3" borderId="0" xfId="2" applyNumberFormat="1" applyFont="1" applyFill="1"/>
    <xf numFmtId="172" fontId="2" fillId="3" borderId="0" xfId="2" applyNumberFormat="1" applyFont="1" applyFill="1"/>
    <xf numFmtId="172" fontId="4" fillId="3" borderId="0" xfId="2" applyNumberFormat="1" applyFont="1" applyFill="1"/>
    <xf numFmtId="39" fontId="2" fillId="3" borderId="0" xfId="2" applyNumberFormat="1" applyFont="1" applyFill="1"/>
    <xf numFmtId="164" fontId="10" fillId="6" borderId="6" xfId="2" applyNumberFormat="1" applyFont="1" applyFill="1" applyBorder="1" applyAlignment="1">
      <alignment horizontal="center" vertical="center"/>
    </xf>
    <xf numFmtId="164" fontId="10" fillId="6" borderId="18" xfId="2" applyNumberFormat="1" applyFont="1" applyFill="1" applyBorder="1" applyAlignment="1">
      <alignment horizontal="center" vertical="center"/>
    </xf>
    <xf numFmtId="164" fontId="10" fillId="6" borderId="19" xfId="2" applyNumberFormat="1" applyFont="1" applyFill="1" applyBorder="1" applyAlignment="1">
      <alignment horizontal="center" vertical="center"/>
    </xf>
    <xf numFmtId="10" fontId="0" fillId="0" borderId="0" xfId="0" applyNumberFormat="1"/>
    <xf numFmtId="170" fontId="8" fillId="7" borderId="0" xfId="0" applyNumberFormat="1" applyFont="1" applyFill="1"/>
    <xf numFmtId="5" fontId="3" fillId="3" borderId="11" xfId="2" applyNumberFormat="1" applyFont="1" applyFill="1" applyBorder="1"/>
    <xf numFmtId="5" fontId="3" fillId="3" borderId="10" xfId="2" applyNumberFormat="1" applyFont="1" applyFill="1" applyBorder="1"/>
    <xf numFmtId="0" fontId="2" fillId="3" borderId="10" xfId="2" applyFont="1" applyFill="1" applyBorder="1"/>
    <xf numFmtId="0" fontId="4" fillId="3" borderId="15" xfId="2" applyFont="1" applyFill="1" applyBorder="1"/>
    <xf numFmtId="0" fontId="4" fillId="3" borderId="14" xfId="2" applyFont="1" applyFill="1" applyBorder="1"/>
    <xf numFmtId="0" fontId="2" fillId="3" borderId="15" xfId="2" applyFont="1" applyFill="1" applyBorder="1"/>
    <xf numFmtId="0" fontId="2" fillId="3" borderId="15" xfId="2" applyFont="1" applyFill="1" applyBorder="1" applyAlignment="1">
      <alignment horizontal="left"/>
    </xf>
    <xf numFmtId="170" fontId="3" fillId="3" borderId="10" xfId="2" applyNumberFormat="1" applyFont="1" applyFill="1" applyBorder="1"/>
    <xf numFmtId="170" fontId="4" fillId="3" borderId="10" xfId="2" applyNumberFormat="1" applyFont="1" applyFill="1" applyBorder="1"/>
    <xf numFmtId="170" fontId="2" fillId="3" borderId="10" xfId="2" applyNumberFormat="1" applyFont="1" applyFill="1" applyBorder="1"/>
    <xf numFmtId="170" fontId="4" fillId="3" borderId="11" xfId="2" applyNumberFormat="1" applyFont="1" applyFill="1" applyBorder="1"/>
    <xf numFmtId="170" fontId="3" fillId="3" borderId="11" xfId="2" applyNumberFormat="1" applyFont="1" applyFill="1" applyBorder="1"/>
    <xf numFmtId="170" fontId="2" fillId="3" borderId="11" xfId="2" applyNumberFormat="1" applyFont="1" applyFill="1" applyBorder="1"/>
    <xf numFmtId="0" fontId="0" fillId="0" borderId="15" xfId="0" applyBorder="1"/>
    <xf numFmtId="0" fontId="0" fillId="0" borderId="10" xfId="0" applyBorder="1"/>
    <xf numFmtId="0" fontId="2" fillId="3" borderId="12" xfId="0" applyFont="1" applyFill="1" applyBorder="1"/>
    <xf numFmtId="39" fontId="2" fillId="3" borderId="13" xfId="0" applyNumberFormat="1" applyFont="1" applyFill="1" applyBorder="1"/>
    <xf numFmtId="0" fontId="2" fillId="3" borderId="15" xfId="0" applyFont="1" applyFill="1" applyBorder="1"/>
    <xf numFmtId="10" fontId="2" fillId="3" borderId="11" xfId="0" applyNumberFormat="1" applyFont="1" applyFill="1" applyBorder="1"/>
    <xf numFmtId="0" fontId="2" fillId="3" borderId="14" xfId="0" applyFont="1" applyFill="1" applyBorder="1"/>
    <xf numFmtId="0" fontId="4" fillId="3" borderId="15" xfId="0" applyFont="1" applyFill="1" applyBorder="1"/>
    <xf numFmtId="39" fontId="4" fillId="3" borderId="10" xfId="0" applyNumberFormat="1" applyFont="1" applyFill="1" applyBorder="1"/>
    <xf numFmtId="39" fontId="2" fillId="3" borderId="10" xfId="0" applyNumberFormat="1" applyFont="1" applyFill="1" applyBorder="1"/>
    <xf numFmtId="0" fontId="2" fillId="4" borderId="10" xfId="0" applyFont="1" applyFill="1" applyBorder="1"/>
    <xf numFmtId="39" fontId="2" fillId="4" borderId="10" xfId="0" applyNumberFormat="1" applyFont="1" applyFill="1" applyBorder="1"/>
    <xf numFmtId="39" fontId="2" fillId="3" borderId="11" xfId="0" applyNumberFormat="1" applyFont="1" applyFill="1" applyBorder="1"/>
    <xf numFmtId="39" fontId="2" fillId="4" borderId="11" xfId="0" applyNumberFormat="1" applyFont="1" applyFill="1" applyBorder="1"/>
    <xf numFmtId="39" fontId="4" fillId="4" borderId="10" xfId="0" applyNumberFormat="1" applyFont="1" applyFill="1" applyBorder="1"/>
    <xf numFmtId="10" fontId="2" fillId="3" borderId="10" xfId="0" applyNumberFormat="1" applyFont="1" applyFill="1" applyBorder="1"/>
    <xf numFmtId="0" fontId="2" fillId="4" borderId="0" xfId="0" applyFont="1" applyFill="1"/>
    <xf numFmtId="0" fontId="4" fillId="3" borderId="12" xfId="0" applyFont="1" applyFill="1" applyBorder="1"/>
    <xf numFmtId="0" fontId="4" fillId="4" borderId="7" xfId="4" applyFont="1" applyFill="1" applyBorder="1"/>
    <xf numFmtId="175" fontId="4" fillId="4" borderId="5" xfId="4" applyNumberFormat="1" applyFont="1" applyFill="1" applyBorder="1"/>
    <xf numFmtId="0" fontId="2" fillId="4" borderId="8" xfId="4" applyFont="1" applyFill="1" applyBorder="1"/>
    <xf numFmtId="171" fontId="2" fillId="4" borderId="4" xfId="4" applyNumberFormat="1" applyFont="1" applyFill="1" applyBorder="1"/>
    <xf numFmtId="175" fontId="2" fillId="4" borderId="4" xfId="4" applyNumberFormat="1" applyFont="1" applyFill="1" applyBorder="1"/>
    <xf numFmtId="0" fontId="4" fillId="4" borderId="8" xfId="4" applyFont="1" applyFill="1" applyBorder="1"/>
    <xf numFmtId="175" fontId="4" fillId="4" borderId="10" xfId="4" applyNumberFormat="1" applyFont="1" applyFill="1" applyBorder="1"/>
    <xf numFmtId="174" fontId="4" fillId="4" borderId="13" xfId="4" applyNumberFormat="1" applyFont="1" applyFill="1" applyBorder="1"/>
    <xf numFmtId="0" fontId="4" fillId="4" borderId="12" xfId="4" applyFont="1" applyFill="1" applyBorder="1"/>
    <xf numFmtId="0" fontId="6" fillId="4" borderId="9" xfId="4" applyFont="1" applyFill="1" applyBorder="1"/>
    <xf numFmtId="170" fontId="6" fillId="4" borderId="3" xfId="4" applyNumberFormat="1" applyFont="1" applyFill="1" applyBorder="1"/>
    <xf numFmtId="0" fontId="4" fillId="4" borderId="15" xfId="4" applyFont="1" applyFill="1" applyBorder="1"/>
    <xf numFmtId="174" fontId="4" fillId="4" borderId="10" xfId="4" applyNumberFormat="1" applyFont="1" applyFill="1" applyBorder="1"/>
    <xf numFmtId="37" fontId="2" fillId="0" borderId="0" xfId="0" applyNumberFormat="1" applyFont="1"/>
    <xf numFmtId="37" fontId="12" fillId="0" borderId="0" xfId="0" applyNumberFormat="1" applyFont="1"/>
    <xf numFmtId="3" fontId="2" fillId="0" borderId="0" xfId="0" applyNumberFormat="1" applyFont="1"/>
    <xf numFmtId="37" fontId="4" fillId="0" borderId="0" xfId="0" applyNumberFormat="1" applyFont="1"/>
    <xf numFmtId="0" fontId="4" fillId="0" borderId="20" xfId="0" applyFont="1" applyBorder="1"/>
    <xf numFmtId="0" fontId="2" fillId="0" borderId="20" xfId="0" applyFont="1" applyBorder="1"/>
    <xf numFmtId="37" fontId="2" fillId="0" borderId="20" xfId="0" applyNumberFormat="1" applyFont="1" applyBorder="1"/>
    <xf numFmtId="37" fontId="3" fillId="0" borderId="0" xfId="0" applyNumberFormat="1" applyFont="1"/>
    <xf numFmtId="37" fontId="13" fillId="0" borderId="0" xfId="0" applyNumberFormat="1" applyFont="1"/>
    <xf numFmtId="0" fontId="6" fillId="0" borderId="0" xfId="0" applyFont="1" applyAlignment="1">
      <alignment horizontal="left" indent="1"/>
    </xf>
    <xf numFmtId="168" fontId="6" fillId="0" borderId="0" xfId="1" applyNumberFormat="1" applyFont="1"/>
    <xf numFmtId="0" fontId="3" fillId="0" borderId="0" xfId="0" applyFont="1"/>
    <xf numFmtId="0" fontId="13" fillId="0" borderId="0" xfId="0" applyFont="1"/>
    <xf numFmtId="0" fontId="2" fillId="0" borderId="0" xfId="0" applyFont="1" applyAlignment="1">
      <alignment horizontal="left" indent="1"/>
    </xf>
    <xf numFmtId="14" fontId="2" fillId="0" borderId="0" xfId="0" applyNumberFormat="1" applyFont="1"/>
    <xf numFmtId="0" fontId="6" fillId="3" borderId="14" xfId="0" applyFont="1" applyFill="1" applyBorder="1"/>
    <xf numFmtId="10" fontId="6" fillId="3" borderId="11" xfId="1" applyNumberFormat="1" applyFont="1" applyFill="1" applyBorder="1"/>
    <xf numFmtId="176" fontId="3" fillId="3" borderId="10" xfId="2" applyNumberFormat="1" applyFont="1" applyFill="1" applyBorder="1"/>
    <xf numFmtId="166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right"/>
    </xf>
    <xf numFmtId="39" fontId="4" fillId="3" borderId="13" xfId="0" applyNumberFormat="1" applyFont="1" applyFill="1" applyBorder="1"/>
    <xf numFmtId="178" fontId="14" fillId="0" borderId="0" xfId="0" applyNumberFormat="1" applyFont="1"/>
    <xf numFmtId="177" fontId="15" fillId="0" borderId="0" xfId="0" applyNumberFormat="1" applyFont="1"/>
    <xf numFmtId="178" fontId="12" fillId="0" borderId="0" xfId="0" applyNumberFormat="1" applyFont="1"/>
    <xf numFmtId="10" fontId="3" fillId="3" borderId="11" xfId="0" applyNumberFormat="1" applyFont="1" applyFill="1" applyBorder="1"/>
    <xf numFmtId="173" fontId="3" fillId="4" borderId="11" xfId="3" applyNumberFormat="1" applyFont="1" applyFill="1" applyBorder="1"/>
    <xf numFmtId="169" fontId="4" fillId="3" borderId="10" xfId="2" applyNumberFormat="1" applyFont="1" applyFill="1" applyBorder="1"/>
    <xf numFmtId="170" fontId="6" fillId="3" borderId="10" xfId="2" applyNumberFormat="1" applyFont="1" applyFill="1" applyBorder="1"/>
    <xf numFmtId="172" fontId="2" fillId="3" borderId="10" xfId="2" applyNumberFormat="1" applyFont="1" applyFill="1" applyBorder="1"/>
    <xf numFmtId="172" fontId="4" fillId="3" borderId="10" xfId="2" applyNumberFormat="1" applyFont="1" applyFill="1" applyBorder="1"/>
    <xf numFmtId="164" fontId="10" fillId="6" borderId="21" xfId="2" applyNumberFormat="1" applyFont="1" applyFill="1" applyBorder="1" applyAlignment="1">
      <alignment horizontal="center" vertical="center"/>
    </xf>
    <xf numFmtId="170" fontId="6" fillId="3" borderId="0" xfId="2" applyNumberFormat="1" applyFont="1" applyFill="1" applyBorder="1"/>
    <xf numFmtId="0" fontId="0" fillId="0" borderId="0" xfId="0"/>
    <xf numFmtId="3" fontId="4" fillId="0" borderId="0" xfId="0" applyNumberFormat="1" applyFont="1"/>
    <xf numFmtId="0" fontId="2" fillId="0" borderId="0" xfId="0" applyFont="1"/>
    <xf numFmtId="170" fontId="6" fillId="3" borderId="0" xfId="2" applyNumberFormat="1" applyFont="1" applyFill="1" applyBorder="1" applyAlignment="1">
      <alignment horizontal="center"/>
    </xf>
    <xf numFmtId="0" fontId="6" fillId="3" borderId="0" xfId="0" applyFont="1" applyFill="1" applyBorder="1"/>
    <xf numFmtId="10" fontId="6" fillId="3" borderId="0" xfId="1" applyNumberFormat="1" applyFont="1" applyFill="1" applyBorder="1"/>
    <xf numFmtId="0" fontId="20" fillId="0" borderId="0" xfId="0" applyFont="1"/>
    <xf numFmtId="176" fontId="0" fillId="0" borderId="0" xfId="0" applyNumberFormat="1"/>
    <xf numFmtId="172" fontId="20" fillId="3" borderId="0" xfId="2" applyNumberFormat="1" applyFont="1" applyFill="1" applyAlignment="1">
      <alignment horizontal="right"/>
    </xf>
    <xf numFmtId="179" fontId="2" fillId="3" borderId="0" xfId="2" applyNumberFormat="1" applyFont="1" applyFill="1"/>
    <xf numFmtId="0" fontId="0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0" xfId="0" quotePrefix="1" applyFont="1" applyFill="1"/>
    <xf numFmtId="0" fontId="10" fillId="6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left"/>
    </xf>
    <xf numFmtId="0" fontId="10" fillId="6" borderId="23" xfId="0" applyFont="1" applyFill="1" applyBorder="1" applyAlignment="1">
      <alignment horizontal="left"/>
    </xf>
    <xf numFmtId="0" fontId="10" fillId="6" borderId="17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17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69" fontId="7" fillId="3" borderId="0" xfId="2" applyNumberFormat="1" applyFont="1" applyFill="1"/>
    <xf numFmtId="170" fontId="22" fillId="3" borderId="0" xfId="2" applyNumberFormat="1" applyFont="1" applyFill="1"/>
    <xf numFmtId="172" fontId="13" fillId="3" borderId="0" xfId="2" applyNumberFormat="1" applyFont="1" applyFill="1"/>
    <xf numFmtId="164" fontId="10" fillId="6" borderId="17" xfId="2" applyNumberFormat="1" applyFont="1" applyFill="1" applyBorder="1" applyAlignment="1">
      <alignment horizontal="center" vertical="center"/>
    </xf>
    <xf numFmtId="169" fontId="7" fillId="3" borderId="10" xfId="2" applyNumberFormat="1" applyFont="1" applyFill="1" applyBorder="1"/>
    <xf numFmtId="170" fontId="22" fillId="3" borderId="10" xfId="2" applyNumberFormat="1" applyFont="1" applyFill="1" applyBorder="1"/>
    <xf numFmtId="172" fontId="13" fillId="3" borderId="10" xfId="2" applyNumberFormat="1" applyFont="1" applyFill="1" applyBorder="1"/>
    <xf numFmtId="172" fontId="4" fillId="3" borderId="0" xfId="2" applyNumberFormat="1" applyFont="1" applyFill="1" applyBorder="1"/>
    <xf numFmtId="175" fontId="3" fillId="4" borderId="4" xfId="4" applyNumberFormat="1" applyFont="1" applyFill="1" applyBorder="1"/>
    <xf numFmtId="39" fontId="13" fillId="3" borderId="10" xfId="0" applyNumberFormat="1" applyFont="1" applyFill="1" applyBorder="1"/>
    <xf numFmtId="170" fontId="22" fillId="3" borderId="22" xfId="2" applyNumberFormat="1" applyFont="1" applyFill="1" applyBorder="1"/>
    <xf numFmtId="171" fontId="13" fillId="4" borderId="4" xfId="4" applyNumberFormat="1" applyFont="1" applyFill="1" applyBorder="1"/>
    <xf numFmtId="170" fontId="8" fillId="3" borderId="22" xfId="2" applyNumberFormat="1" applyFont="1" applyFill="1" applyBorder="1" applyAlignment="1">
      <alignment horizontal="center"/>
    </xf>
  </cellXfs>
  <cellStyles count="29">
    <cellStyle name="Comma [0] 2" xfId="11" xr:uid="{21E9C1BD-4BE6-4BC2-8542-8146B1ADB6F9}"/>
    <cellStyle name="Comma 2" xfId="7" xr:uid="{F48F1ECC-60C3-405B-9772-CD137A038AD5}"/>
    <cellStyle name="Currency [0] 2" xfId="9" xr:uid="{5A903F96-8BCA-48E9-84E9-3B03EDC4E61B}"/>
    <cellStyle name="Currency 2" xfId="12" xr:uid="{B25D1601-B998-422F-A16B-EC46FD8422BB}"/>
    <cellStyle name="Currency 2 2" xfId="13" xr:uid="{8BB39369-BBC3-471E-9558-22A278FEBCC4}"/>
    <cellStyle name="Currency 2 2 2" xfId="26" xr:uid="{02987C2A-379E-499F-BBB8-25945B69FF6B}"/>
    <cellStyle name="Currency 3" xfId="21" xr:uid="{74A19535-2BB3-40E4-AA52-58A4FDF9F68A}"/>
    <cellStyle name="Currency 4" xfId="8" xr:uid="{8EB6EBAC-B432-40A0-87AF-B80DB7542C63}"/>
    <cellStyle name="Good 2" xfId="25" xr:uid="{2EAB64A8-F8B2-446A-BFF2-88E756AF5B34}"/>
    <cellStyle name="Good 3" xfId="14" xr:uid="{37C00566-826D-4785-A4C9-20C39FD4EAD9}"/>
    <cellStyle name="Hyperlink 2" xfId="16" xr:uid="{7160951B-6C0B-4972-8AB3-2A1EFB411CA6}"/>
    <cellStyle name="Hyperlink 3" xfId="24" xr:uid="{9C017092-85C5-4063-AE96-E3630A4A84F0}"/>
    <cellStyle name="Hyperlink 4" xfId="15" xr:uid="{BB94CDE6-46C2-4FCB-BF32-22742B3A2607}"/>
    <cellStyle name="Normal" xfId="0" builtinId="0"/>
    <cellStyle name="Normal 18" xfId="3" xr:uid="{157F6D22-3F4D-42AB-937A-5436AFCE2A52}"/>
    <cellStyle name="Normal 2" xfId="2" xr:uid="{D7615A92-1F86-4BDF-9C42-821CA97AEAD0}"/>
    <cellStyle name="Normal 2 2" xfId="28" xr:uid="{C7984B72-154C-40C1-966C-AEC7A8805F19}"/>
    <cellStyle name="Normal 2 3" xfId="5" xr:uid="{38ED617C-E5B3-4B1E-A015-D94010F9BDC3}"/>
    <cellStyle name="Normal 20" xfId="4" xr:uid="{33204853-A96D-40F8-BBF9-175C1C97986A}"/>
    <cellStyle name="Normal 3" xfId="17" xr:uid="{EA39D7CF-4F2F-4051-BA93-73BE8BD0CE8B}"/>
    <cellStyle name="Normal 3 4" xfId="23" xr:uid="{C1442B3E-9517-4774-8992-C4C137DEC7BB}"/>
    <cellStyle name="Normal 3 4 2" xfId="27" xr:uid="{870940F8-7559-4A5D-B72D-9A293EE8E444}"/>
    <cellStyle name="Normal 4" xfId="18" xr:uid="{9F801C44-480C-4F45-B011-6641DF9357BA}"/>
    <cellStyle name="Normal 4 2" xfId="22" xr:uid="{898375D2-4FE7-4174-A5BC-CA8E31AC6106}"/>
    <cellStyle name="Normal 5" xfId="20" xr:uid="{93E3F2D7-A19A-45CD-BCDA-B82C7FFDE73E}"/>
    <cellStyle name="Normal 6" xfId="10" xr:uid="{F841492F-54BF-4D87-88CC-D39AA1306F23}"/>
    <cellStyle name="Percent" xfId="1" builtinId="5"/>
    <cellStyle name="Percent 2" xfId="19" xr:uid="{1C37AEC4-8062-49B1-B7EE-041D14508680}"/>
    <cellStyle name="Percent 3" xfId="6" xr:uid="{463E591A-65F5-4787-961F-043603BC1FDA}"/>
  </cellStyles>
  <dxfs count="0"/>
  <tableStyles count="0" defaultTableStyle="TableStyleMedium2" defaultPivotStyle="PivotStyleLight16"/>
  <colors>
    <mruColors>
      <color rgb="FF00B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800D-4A58-B24E-AE1D-7A0448AD070D}">
  <dimension ref="B5:G11"/>
  <sheetViews>
    <sheetView showGridLines="0" workbookViewId="0">
      <selection activeCell="C9" sqref="C9"/>
    </sheetView>
  </sheetViews>
  <sheetFormatPr defaultColWidth="11.42578125" defaultRowHeight="15" x14ac:dyDescent="0.25"/>
  <cols>
    <col min="2" max="2" width="19.85546875" customWidth="1"/>
    <col min="6" max="6" width="25.42578125" customWidth="1"/>
  </cols>
  <sheetData>
    <row r="5" spans="2:7" x14ac:dyDescent="0.25">
      <c r="B5" s="1" t="s">
        <v>72</v>
      </c>
      <c r="C5" s="2">
        <v>45448</v>
      </c>
      <c r="D5" s="3"/>
      <c r="E5" s="1"/>
      <c r="F5" s="4" t="s">
        <v>73</v>
      </c>
      <c r="G5" s="1"/>
    </row>
    <row r="6" spans="2:7" x14ac:dyDescent="0.25">
      <c r="B6" s="5" t="s">
        <v>74</v>
      </c>
      <c r="C6" s="6">
        <v>18.239999999999998</v>
      </c>
      <c r="D6" s="3"/>
      <c r="E6" s="1"/>
      <c r="F6" s="7" t="s">
        <v>75</v>
      </c>
      <c r="G6" s="8">
        <f ca="1">DCF!P24</f>
        <v>24.238661347789908</v>
      </c>
    </row>
    <row r="7" spans="2:7" x14ac:dyDescent="0.25">
      <c r="B7" s="5"/>
      <c r="C7" s="3"/>
      <c r="D7" s="3"/>
      <c r="E7" s="1"/>
      <c r="F7" s="7" t="s">
        <v>196</v>
      </c>
      <c r="G7" s="8">
        <f ca="1">DCF!M24</f>
        <v>24.132092050562072</v>
      </c>
    </row>
    <row r="8" spans="2:7" x14ac:dyDescent="0.25">
      <c r="B8" s="1" t="s">
        <v>76</v>
      </c>
      <c r="C8" s="9">
        <v>1</v>
      </c>
      <c r="D8" s="10" t="str">
        <f ca="1">+OFFSET(D8,$C$18,)</f>
        <v>Base</v>
      </c>
      <c r="E8" s="1"/>
      <c r="F8" s="11" t="s">
        <v>77</v>
      </c>
      <c r="G8" s="12">
        <f ca="1">DCF!M33</f>
        <v>24.18537669917599</v>
      </c>
    </row>
    <row r="9" spans="2:7" x14ac:dyDescent="0.25">
      <c r="B9" s="1"/>
      <c r="C9" s="1">
        <v>1</v>
      </c>
      <c r="D9" s="1" t="s">
        <v>78</v>
      </c>
      <c r="E9" s="1"/>
      <c r="F9" s="7" t="s">
        <v>79</v>
      </c>
      <c r="G9" s="13">
        <f ca="1">DCF!M34</f>
        <v>0.32595266991096444</v>
      </c>
    </row>
    <row r="10" spans="2:7" x14ac:dyDescent="0.25">
      <c r="B10" s="1"/>
      <c r="C10" s="1">
        <v>2</v>
      </c>
      <c r="D10" s="1" t="s">
        <v>80</v>
      </c>
      <c r="E10" s="1"/>
      <c r="F10" s="1"/>
      <c r="G10" s="1"/>
    </row>
    <row r="11" spans="2:7" x14ac:dyDescent="0.25">
      <c r="B11" s="1"/>
      <c r="C11" s="1">
        <v>3</v>
      </c>
      <c r="D11" s="1" t="s">
        <v>81</v>
      </c>
      <c r="E11" s="1"/>
      <c r="F11" s="4"/>
      <c r="G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F409-6B47-984B-AF2C-B494F9AC3E3F}">
  <dimension ref="A3:P45"/>
  <sheetViews>
    <sheetView showGridLines="0" workbookViewId="0"/>
  </sheetViews>
  <sheetFormatPr defaultColWidth="11.42578125" defaultRowHeight="15" x14ac:dyDescent="0.25"/>
  <cols>
    <col min="1" max="1" width="3.7109375" style="112" customWidth="1"/>
    <col min="2" max="2" width="30" bestFit="1" customWidth="1"/>
    <col min="3" max="3" width="13.42578125" style="112" bestFit="1" customWidth="1"/>
    <col min="4" max="4" width="13.5703125" style="112" bestFit="1" customWidth="1"/>
    <col min="5" max="5" width="14.28515625" bestFit="1" customWidth="1"/>
    <col min="6" max="6" width="13.7109375" bestFit="1" customWidth="1"/>
    <col min="7" max="7" width="13.5703125" bestFit="1" customWidth="1"/>
    <col min="8" max="9" width="13.7109375" bestFit="1" customWidth="1"/>
    <col min="10" max="10" width="13.5703125" bestFit="1" customWidth="1"/>
    <col min="11" max="11" width="3.7109375" customWidth="1"/>
    <col min="12" max="12" width="26.5703125" bestFit="1" customWidth="1"/>
    <col min="13" max="13" width="28" bestFit="1" customWidth="1"/>
    <col min="14" max="14" width="3.7109375" customWidth="1"/>
    <col min="15" max="15" width="25.85546875" bestFit="1" customWidth="1"/>
    <col min="16" max="16" width="27.28515625" bestFit="1" customWidth="1"/>
  </cols>
  <sheetData>
    <row r="3" spans="1:16" x14ac:dyDescent="0.25">
      <c r="A3" s="112" t="s">
        <v>255</v>
      </c>
      <c r="E3" s="1" t="s">
        <v>72</v>
      </c>
      <c r="F3" s="93">
        <f ca="1">TODAY()</f>
        <v>45391</v>
      </c>
    </row>
    <row r="4" spans="1:16" x14ac:dyDescent="0.25">
      <c r="E4" s="1" t="s">
        <v>153</v>
      </c>
      <c r="F4" s="93">
        <v>45657</v>
      </c>
    </row>
    <row r="7" spans="1:16" x14ac:dyDescent="0.25">
      <c r="A7" s="112" t="s">
        <v>255</v>
      </c>
      <c r="B7" s="24"/>
      <c r="C7" s="32" t="s">
        <v>211</v>
      </c>
      <c r="D7" s="143" t="s">
        <v>210</v>
      </c>
      <c r="E7" s="30" t="s">
        <v>139</v>
      </c>
      <c r="F7" s="30" t="s">
        <v>140</v>
      </c>
      <c r="G7" s="30" t="s">
        <v>141</v>
      </c>
      <c r="H7" s="30" t="s">
        <v>142</v>
      </c>
      <c r="I7" s="30" t="s">
        <v>143</v>
      </c>
      <c r="J7" s="31" t="s">
        <v>209</v>
      </c>
      <c r="L7" s="127" t="s">
        <v>197</v>
      </c>
      <c r="M7" s="128"/>
      <c r="N7" s="5"/>
      <c r="O7" s="127" t="s">
        <v>170</v>
      </c>
      <c r="P7" s="128"/>
    </row>
    <row r="8" spans="1:16" x14ac:dyDescent="0.25">
      <c r="B8" s="24" t="s">
        <v>124</v>
      </c>
      <c r="C8" s="140">
        <f>'Operating '!D9</f>
        <v>20582615</v>
      </c>
      <c r="D8" s="144">
        <f>'Operating '!E9</f>
        <v>24383000</v>
      </c>
      <c r="E8" s="140">
        <f ca="1">'Operating '!F9</f>
        <v>28865344.800000001</v>
      </c>
      <c r="F8" s="140">
        <f ca="1">'Operating '!G9</f>
        <v>32808676.550480004</v>
      </c>
      <c r="G8" s="140">
        <f ca="1">'Operating '!H9</f>
        <v>37306494.370137602</v>
      </c>
      <c r="H8" s="140">
        <f ca="1">'Operating '!I9</f>
        <v>42378324.255354106</v>
      </c>
      <c r="I8" s="140">
        <f ca="1">'Operating '!J9</f>
        <v>48100053.868807822</v>
      </c>
      <c r="J8" s="140">
        <f ca="1">'Operating '!K9</f>
        <v>54560282.932262704</v>
      </c>
      <c r="L8" s="50" t="s">
        <v>216</v>
      </c>
      <c r="M8" s="51">
        <f ca="1">J24</f>
        <v>3689927.3037185809</v>
      </c>
      <c r="N8" s="5"/>
      <c r="O8" s="50" t="s">
        <v>171</v>
      </c>
      <c r="P8" s="51">
        <f ca="1">J12</f>
        <v>4182591.2895872667</v>
      </c>
    </row>
    <row r="9" spans="1:16" x14ac:dyDescent="0.25">
      <c r="B9" s="23" t="s">
        <v>84</v>
      </c>
      <c r="C9" s="141"/>
      <c r="D9" s="107">
        <f>D8/C8-1</f>
        <v>0.18464053279916093</v>
      </c>
      <c r="E9" s="26">
        <f ca="1">E8/D8-1</f>
        <v>0.1838307345281549</v>
      </c>
      <c r="F9" s="26">
        <f ca="1">F8/E8-1</f>
        <v>0.1366112817221572</v>
      </c>
      <c r="G9" s="26">
        <f t="shared" ref="G9:J9" ca="1" si="0">G8/F8-1</f>
        <v>0.13709232716952724</v>
      </c>
      <c r="H9" s="26">
        <f t="shared" ca="1" si="0"/>
        <v>0.13595032100567206</v>
      </c>
      <c r="I9" s="26">
        <f t="shared" ca="1" si="0"/>
        <v>0.13501547581204387</v>
      </c>
      <c r="J9" s="26">
        <f t="shared" ca="1" si="0"/>
        <v>0.13430814612131337</v>
      </c>
      <c r="L9" s="52" t="s">
        <v>198</v>
      </c>
      <c r="M9" s="104">
        <v>0.02</v>
      </c>
      <c r="N9" s="5"/>
      <c r="O9" s="54" t="s">
        <v>172</v>
      </c>
      <c r="P9" s="105">
        <v>12.73</v>
      </c>
    </row>
    <row r="10" spans="1:16" x14ac:dyDescent="0.25">
      <c r="B10" s="22" t="s">
        <v>125</v>
      </c>
      <c r="C10" s="142">
        <f>'Operating '!D12+'Operating '!D17</f>
        <v>-20694634</v>
      </c>
      <c r="D10" s="146">
        <f>'Operating '!E12+'Operating '!E17</f>
        <v>-23910000</v>
      </c>
      <c r="E10" s="142">
        <f ca="1">'Operating '!F12+'Operating '!F17</f>
        <v>-28028249.800800003</v>
      </c>
      <c r="F10" s="142">
        <f ca="1">'Operating '!G12+'Operating '!G17</f>
        <v>-31489767.753150709</v>
      </c>
      <c r="G10" s="142">
        <f ca="1">'Operating '!H12+'Operating '!H17</f>
        <v>-35508321.341496967</v>
      </c>
      <c r="H10" s="142">
        <f ca="1">'Operating '!I12+'Operating '!I17</f>
        <v>-39996662.432203203</v>
      </c>
      <c r="I10" s="142">
        <f ca="1">'Operating '!J12+'Operating '!J17</f>
        <v>-45012030.410430357</v>
      </c>
      <c r="J10" s="142">
        <f ca="1">'Operating '!K12+'Operating '!K17</f>
        <v>-50893831.919214644</v>
      </c>
      <c r="L10" s="55" t="s">
        <v>173</v>
      </c>
      <c r="M10" s="56">
        <f ca="1">M8*(1+M9)/(WACC!C17-DCF!M9)</f>
        <v>52932951.65821775</v>
      </c>
      <c r="N10" s="5"/>
      <c r="O10" s="55" t="s">
        <v>173</v>
      </c>
      <c r="P10" s="56">
        <f ca="1">P8*P9</f>
        <v>53244387.116445906</v>
      </c>
    </row>
    <row r="11" spans="1:16" x14ac:dyDescent="0.25">
      <c r="B11" s="22" t="s">
        <v>92</v>
      </c>
      <c r="C11" s="142">
        <f>'Operating '!D22</f>
        <v>230965</v>
      </c>
      <c r="D11" s="146">
        <f>'Operating '!E22</f>
        <v>275000</v>
      </c>
      <c r="E11" s="142">
        <f ca="1">'Operating '!F22</f>
        <v>336425.59364399995</v>
      </c>
      <c r="F11" s="142">
        <f ca="1">'Operating '!G22</f>
        <v>384681.7325543781</v>
      </c>
      <c r="G11" s="142">
        <f ca="1">'Operating '!H22</f>
        <v>423848.4091627259</v>
      </c>
      <c r="H11" s="142">
        <f ca="1">'Operating '!I22</f>
        <v>460334.54722378403</v>
      </c>
      <c r="I11" s="142">
        <f ca="1">'Operating '!J22</f>
        <v>492003.42601056816</v>
      </c>
      <c r="J11" s="142">
        <f ca="1">'Operating '!K22</f>
        <v>516140.27653920534</v>
      </c>
      <c r="L11" s="52"/>
      <c r="M11" s="57"/>
      <c r="N11" s="5"/>
      <c r="O11" s="52"/>
      <c r="P11" s="58"/>
    </row>
    <row r="12" spans="1:16" x14ac:dyDescent="0.25">
      <c r="B12" s="24" t="s">
        <v>126</v>
      </c>
      <c r="C12" s="28">
        <f t="shared" ref="C12:D12" si="1">C11+C10+C8</f>
        <v>118946</v>
      </c>
      <c r="D12" s="109">
        <f t="shared" si="1"/>
        <v>748000</v>
      </c>
      <c r="E12" s="28">
        <f ca="1">E11+E10+E8</f>
        <v>1173520.5928439982</v>
      </c>
      <c r="F12" s="28">
        <f t="shared" ref="F12:J12" ca="1" si="2">F11+F10+F8</f>
        <v>1703590.5298836753</v>
      </c>
      <c r="G12" s="28">
        <f t="shared" ca="1" si="2"/>
        <v>2222021.4378033578</v>
      </c>
      <c r="H12" s="28">
        <f t="shared" ca="1" si="2"/>
        <v>2841996.370374687</v>
      </c>
      <c r="I12" s="28">
        <f t="shared" ca="1" si="2"/>
        <v>3580026.884388037</v>
      </c>
      <c r="J12" s="28">
        <f t="shared" ca="1" si="2"/>
        <v>4182591.2895872667</v>
      </c>
      <c r="L12" s="52" t="s">
        <v>174</v>
      </c>
      <c r="M12" s="57">
        <f ca="1">SUM(E31:J31)</f>
        <v>8654749.9693064317</v>
      </c>
      <c r="N12" s="5"/>
      <c r="O12" s="52" t="s">
        <v>174</v>
      </c>
      <c r="P12" s="59">
        <f ca="1">SUM(E31:J31)</f>
        <v>8654749.9693064317</v>
      </c>
    </row>
    <row r="13" spans="1:16" x14ac:dyDescent="0.25">
      <c r="B13" s="23" t="s">
        <v>87</v>
      </c>
      <c r="C13" s="26">
        <f t="shared" ref="C13:D13" si="3">C12/C8</f>
        <v>5.7789547149378253E-3</v>
      </c>
      <c r="D13" s="107">
        <f t="shared" si="3"/>
        <v>3.0677111101997293E-2</v>
      </c>
      <c r="E13" s="26">
        <f ca="1">E12/E8</f>
        <v>4.0654999999999934E-2</v>
      </c>
      <c r="F13" s="26">
        <f t="shared" ref="F13:J13" ca="1" si="4">F12/F8</f>
        <v>5.1925000000000034E-2</v>
      </c>
      <c r="G13" s="26">
        <f t="shared" ca="1" si="4"/>
        <v>5.9561249999999989E-2</v>
      </c>
      <c r="H13" s="26">
        <f t="shared" ca="1" si="4"/>
        <v>6.7062500000000053E-2</v>
      </c>
      <c r="I13" s="26">
        <f t="shared" ca="1" si="4"/>
        <v>7.4428750000000141E-2</v>
      </c>
      <c r="J13" s="26">
        <f t="shared" ca="1" si="4"/>
        <v>7.6660000000000145E-2</v>
      </c>
      <c r="L13" s="52" t="s">
        <v>175</v>
      </c>
      <c r="M13" s="60">
        <f ca="1">M10*J30</f>
        <v>32382404.19868844</v>
      </c>
      <c r="N13" s="5"/>
      <c r="O13" s="52" t="s">
        <v>175</v>
      </c>
      <c r="P13" s="61">
        <f ca="1">P10*J30</f>
        <v>32572928.788272366</v>
      </c>
    </row>
    <row r="14" spans="1:16" x14ac:dyDescent="0.25">
      <c r="B14" s="22" t="s">
        <v>127</v>
      </c>
      <c r="C14" s="142">
        <f>-'Operating '!D22</f>
        <v>-230965</v>
      </c>
      <c r="D14" s="146">
        <f>-'Operating '!E22</f>
        <v>-275000</v>
      </c>
      <c r="E14" s="142">
        <f ca="1">-'Operating '!F22</f>
        <v>-336425.59364399995</v>
      </c>
      <c r="F14" s="142">
        <f ca="1">-'Operating '!G22</f>
        <v>-384681.7325543781</v>
      </c>
      <c r="G14" s="142">
        <f ca="1">-'Operating '!H22</f>
        <v>-423848.4091627259</v>
      </c>
      <c r="H14" s="142">
        <f ca="1">-'Operating '!I22</f>
        <v>-460334.54722378403</v>
      </c>
      <c r="I14" s="142">
        <f ca="1">-'Operating '!J22</f>
        <v>-492003.42601056816</v>
      </c>
      <c r="J14" s="142">
        <f ca="1">-'Operating '!K22</f>
        <v>-516140.27653920534</v>
      </c>
      <c r="L14" s="55" t="s">
        <v>176</v>
      </c>
      <c r="M14" s="56">
        <f ca="1">SUM(M12:M13)</f>
        <v>41037154.167994872</v>
      </c>
      <c r="N14" s="5"/>
      <c r="O14" s="52" t="s">
        <v>176</v>
      </c>
      <c r="P14" s="62">
        <f ca="1">SUM(P12:P13)</f>
        <v>41227678.757578798</v>
      </c>
    </row>
    <row r="15" spans="1:16" x14ac:dyDescent="0.25">
      <c r="B15" s="24" t="s">
        <v>128</v>
      </c>
      <c r="C15" s="28">
        <f t="shared" ref="C15:D15" si="5">C14+C12</f>
        <v>-112019</v>
      </c>
      <c r="D15" s="109">
        <f t="shared" si="5"/>
        <v>473000</v>
      </c>
      <c r="E15" s="28">
        <f ca="1">E14+E12</f>
        <v>837094.99919999833</v>
      </c>
      <c r="F15" s="28">
        <f t="shared" ref="F15:J15" ca="1" si="6">F14+F12</f>
        <v>1318908.7973292973</v>
      </c>
      <c r="G15" s="28">
        <f t="shared" ca="1" si="6"/>
        <v>1798173.0286406321</v>
      </c>
      <c r="H15" s="28">
        <f t="shared" ca="1" si="6"/>
        <v>2381661.823150903</v>
      </c>
      <c r="I15" s="28">
        <f t="shared" ca="1" si="6"/>
        <v>3088023.4583774689</v>
      </c>
      <c r="J15" s="28">
        <f t="shared" ca="1" si="6"/>
        <v>3666451.0130480612</v>
      </c>
      <c r="L15" s="52"/>
      <c r="M15" s="57"/>
      <c r="N15" s="5"/>
      <c r="O15" s="52"/>
      <c r="P15" s="58"/>
    </row>
    <row r="16" spans="1:16" x14ac:dyDescent="0.25">
      <c r="B16" s="23" t="s">
        <v>87</v>
      </c>
      <c r="C16" s="26">
        <f t="shared" ref="C16:D16" si="7">C15/C8</f>
        <v>-5.4424085569302052E-3</v>
      </c>
      <c r="D16" s="107">
        <f t="shared" si="7"/>
        <v>1.9398761432145348E-2</v>
      </c>
      <c r="E16" s="26">
        <f ca="1">E15/E8</f>
        <v>2.8999999999999942E-2</v>
      </c>
      <c r="F16" s="26">
        <f t="shared" ref="F16:J16" ca="1" si="8">F15/F8</f>
        <v>4.0200000000000034E-2</v>
      </c>
      <c r="G16" s="26">
        <f t="shared" ca="1" si="8"/>
        <v>4.8199999999999993E-2</v>
      </c>
      <c r="H16" s="26">
        <f t="shared" ca="1" si="8"/>
        <v>5.6200000000000055E-2</v>
      </c>
      <c r="I16" s="26">
        <f t="shared" ca="1" si="8"/>
        <v>6.4200000000000132E-2</v>
      </c>
      <c r="J16" s="26">
        <f t="shared" ca="1" si="8"/>
        <v>6.7200000000000135E-2</v>
      </c>
      <c r="L16" s="52" t="s">
        <v>177</v>
      </c>
      <c r="M16" s="63">
        <f ca="1">M12/M14</f>
        <v>0.21090034493805918</v>
      </c>
      <c r="N16" s="5"/>
      <c r="O16" s="52" t="s">
        <v>177</v>
      </c>
      <c r="P16" s="63">
        <f ca="1">P12/P14</f>
        <v>0.20992571568719345</v>
      </c>
    </row>
    <row r="17" spans="1:16" x14ac:dyDescent="0.25">
      <c r="B17" s="22" t="s">
        <v>129</v>
      </c>
      <c r="C17" s="27">
        <f t="shared" ref="C17:D17" si="9">C15*-C18</f>
        <v>1063</v>
      </c>
      <c r="D17" s="108">
        <f t="shared" si="9"/>
        <v>-776000</v>
      </c>
      <c r="E17" s="27">
        <f ca="1">E15*-E18</f>
        <v>-178803.49182911965</v>
      </c>
      <c r="F17" s="27">
        <f t="shared" ref="F17:J17" ca="1" si="10">F15*-F18</f>
        <v>-303349.02338573837</v>
      </c>
      <c r="G17" s="27">
        <f t="shared" ca="1" si="10"/>
        <v>-413579.79658734536</v>
      </c>
      <c r="H17" s="27">
        <f t="shared" ca="1" si="10"/>
        <v>-547782.21932470775</v>
      </c>
      <c r="I17" s="27">
        <f t="shared" ca="1" si="10"/>
        <v>-710245.39542681782</v>
      </c>
      <c r="J17" s="27">
        <f t="shared" ca="1" si="10"/>
        <v>-843283.73300105415</v>
      </c>
      <c r="L17" s="54" t="s">
        <v>178</v>
      </c>
      <c r="M17" s="53">
        <f ca="1">M13/M14</f>
        <v>0.7890996550619408</v>
      </c>
      <c r="N17" s="5"/>
      <c r="O17" s="54" t="s">
        <v>178</v>
      </c>
      <c r="P17" s="53">
        <f ca="1">P13/P14</f>
        <v>0.79007428431280657</v>
      </c>
    </row>
    <row r="18" spans="1:16" x14ac:dyDescent="0.25">
      <c r="B18" s="23" t="s">
        <v>130</v>
      </c>
      <c r="C18" s="26">
        <f>'Operating '!D28</f>
        <v>9.4894616091912975E-3</v>
      </c>
      <c r="D18" s="107">
        <f>'Operating '!E28</f>
        <v>1.6405919661733614</v>
      </c>
      <c r="E18" s="26">
        <f ca="1">'Operating '!F28</f>
        <v>0.21360000000000001</v>
      </c>
      <c r="F18" s="26">
        <f ca="1">'Operating '!G28</f>
        <v>0.23</v>
      </c>
      <c r="G18" s="26">
        <f ca="1">'Operating '!H28</f>
        <v>0.23</v>
      </c>
      <c r="H18" s="26">
        <f ca="1">'Operating '!I28</f>
        <v>0.23</v>
      </c>
      <c r="I18" s="26">
        <f ca="1">'Operating '!J28</f>
        <v>0.23</v>
      </c>
      <c r="J18" s="26">
        <f ca="1">'Operating '!K28</f>
        <v>0.23</v>
      </c>
      <c r="L18" s="1"/>
      <c r="M18" s="64"/>
      <c r="N18" s="5"/>
      <c r="O18" s="5"/>
      <c r="P18" s="5"/>
    </row>
    <row r="19" spans="1:16" x14ac:dyDescent="0.25">
      <c r="B19" s="24" t="s">
        <v>113</v>
      </c>
      <c r="C19" s="28">
        <f t="shared" ref="C19:D19" si="11">C15+C17</f>
        <v>-110956</v>
      </c>
      <c r="D19" s="109">
        <f t="shared" si="11"/>
        <v>-303000</v>
      </c>
      <c r="E19" s="28">
        <f ca="1">E15+E17</f>
        <v>658291.50737087871</v>
      </c>
      <c r="F19" s="28">
        <f t="shared" ref="F19:J19" ca="1" si="12">F15+F17</f>
        <v>1015559.7739435589</v>
      </c>
      <c r="G19" s="28">
        <f t="shared" ca="1" si="12"/>
        <v>1384593.2320532866</v>
      </c>
      <c r="H19" s="28">
        <f t="shared" ca="1" si="12"/>
        <v>1833879.6038261952</v>
      </c>
      <c r="I19" s="28">
        <f t="shared" ca="1" si="12"/>
        <v>2377778.0629506512</v>
      </c>
      <c r="J19" s="28">
        <f t="shared" ca="1" si="12"/>
        <v>2823167.2800470069</v>
      </c>
      <c r="L19" s="65" t="s">
        <v>179</v>
      </c>
      <c r="M19" s="100">
        <f ca="1">M14</f>
        <v>41037154.167994872</v>
      </c>
      <c r="N19" s="5"/>
      <c r="O19" s="66" t="s">
        <v>192</v>
      </c>
      <c r="P19" s="67">
        <f ca="1">P14</f>
        <v>41227678.757578798</v>
      </c>
    </row>
    <row r="20" spans="1:16" x14ac:dyDescent="0.25">
      <c r="B20" s="22" t="s">
        <v>92</v>
      </c>
      <c r="C20" s="142">
        <f>'Operating '!D22</f>
        <v>230965</v>
      </c>
      <c r="D20" s="146">
        <f>'Operating '!E22</f>
        <v>275000</v>
      </c>
      <c r="E20" s="142">
        <f ca="1">'Operating '!F22</f>
        <v>336425.59364399995</v>
      </c>
      <c r="F20" s="142">
        <f ca="1">'Operating '!G22</f>
        <v>384681.7325543781</v>
      </c>
      <c r="G20" s="142">
        <f ca="1">'Operating '!H22</f>
        <v>423848.4091627259</v>
      </c>
      <c r="H20" s="142">
        <f ca="1">'Operating '!I22</f>
        <v>460334.54722378403</v>
      </c>
      <c r="I20" s="142">
        <f ca="1">'Operating '!J22</f>
        <v>492003.42601056816</v>
      </c>
      <c r="J20" s="142">
        <f ca="1">'Operating '!K22</f>
        <v>516140.27653920534</v>
      </c>
      <c r="L20" s="52" t="s">
        <v>180</v>
      </c>
      <c r="M20" s="149">
        <f>-WACC!C14</f>
        <v>-2787000</v>
      </c>
      <c r="N20" s="5"/>
      <c r="O20" s="68" t="s">
        <v>180</v>
      </c>
      <c r="P20" s="151">
        <f>-WACC!C14</f>
        <v>-2787000</v>
      </c>
    </row>
    <row r="21" spans="1:16" x14ac:dyDescent="0.25">
      <c r="B21" s="22" t="s">
        <v>146</v>
      </c>
      <c r="C21" s="142">
        <f>Assumptions!D115</f>
        <v>249345</v>
      </c>
      <c r="D21" s="146">
        <f>Assumptions!E115</f>
        <v>262266</v>
      </c>
      <c r="E21" s="142">
        <f ca="1">Assumptions!F115</f>
        <v>431536.90476000006</v>
      </c>
      <c r="F21" s="142">
        <f ca="1">Assumptions!G115</f>
        <v>477267.81777983264</v>
      </c>
      <c r="G21" s="142">
        <f ca="1">Assumptions!H115</f>
        <v>535422.80720021483</v>
      </c>
      <c r="H21" s="142">
        <f ca="1">Assumptions!I115</f>
        <v>599949.93648304802</v>
      </c>
      <c r="I21" s="142">
        <f ca="1">Assumptions!J115</f>
        <v>671572.95211629476</v>
      </c>
      <c r="J21" s="142">
        <f ca="1">Assumptions!K115</f>
        <v>751131.41512846062</v>
      </c>
      <c r="L21" s="52" t="s">
        <v>181</v>
      </c>
      <c r="M21" s="148">
        <v>4893200</v>
      </c>
      <c r="N21" s="5"/>
      <c r="O21" s="68" t="s">
        <v>181</v>
      </c>
      <c r="P21" s="148">
        <v>4893200</v>
      </c>
    </row>
    <row r="22" spans="1:16" x14ac:dyDescent="0.25">
      <c r="B22" s="22" t="s">
        <v>131</v>
      </c>
      <c r="C22" s="142">
        <f>'Operating '!D32</f>
        <v>-811080</v>
      </c>
      <c r="D22" s="146">
        <f>'Operating '!E32</f>
        <v>-877000</v>
      </c>
      <c r="E22" s="142">
        <f ca="1">'Operating '!F32</f>
        <v>-1068017.7575999999</v>
      </c>
      <c r="F22" s="142">
        <f ca="1">'Operating '!G32</f>
        <v>-1099090.6644410803</v>
      </c>
      <c r="G22" s="142">
        <f ca="1">'Operating '!H32</f>
        <v>-1137848.0782891971</v>
      </c>
      <c r="H22" s="142">
        <f ca="1">'Operating '!I32</f>
        <v>-1165403.917022238</v>
      </c>
      <c r="I22" s="142">
        <f ca="1">'Operating '!J32</f>
        <v>-1178451.3197857919</v>
      </c>
      <c r="J22" s="142">
        <f ca="1">'Operating '!K32</f>
        <v>-1173046.0830436484</v>
      </c>
      <c r="L22" s="55" t="s">
        <v>182</v>
      </c>
      <c r="M22" s="56">
        <f ca="1">SUM(M19:M21)</f>
        <v>43143354.167994872</v>
      </c>
      <c r="N22" s="5"/>
      <c r="O22" s="71" t="s">
        <v>183</v>
      </c>
      <c r="P22" s="72">
        <f ca="1">SUM(P19:P21)</f>
        <v>43333878.757578798</v>
      </c>
    </row>
    <row r="23" spans="1:16" x14ac:dyDescent="0.25">
      <c r="B23" s="22" t="s">
        <v>132</v>
      </c>
      <c r="C23" s="142">
        <f>-'Operating '!D49</f>
        <v>15698</v>
      </c>
      <c r="D23" s="146">
        <f>-'Operating '!E49</f>
        <v>1249500</v>
      </c>
      <c r="E23" s="142">
        <f ca="1">-'Operating '!F49</f>
        <v>-16135.718279998749</v>
      </c>
      <c r="F23" s="142">
        <f ca="1">-'Operating '!G49</f>
        <v>430686.13225059398</v>
      </c>
      <c r="G23" s="142">
        <f ca="1">-'Operating '!H49</f>
        <v>495090.49256633222</v>
      </c>
      <c r="H23" s="142">
        <f ca="1">-'Operating '!I49</f>
        <v>562947.01363264211</v>
      </c>
      <c r="I23" s="142">
        <f ca="1">-'Operating '!J49</f>
        <v>640133.70157921501</v>
      </c>
      <c r="J23" s="142">
        <f ca="1">-'Operating '!K49</f>
        <v>772534.41504755616</v>
      </c>
      <c r="L23" s="52" t="s">
        <v>184</v>
      </c>
      <c r="M23" s="148">
        <v>1787800</v>
      </c>
      <c r="N23" s="5"/>
      <c r="O23" s="68" t="s">
        <v>185</v>
      </c>
      <c r="P23" s="148">
        <f>M23</f>
        <v>1787800</v>
      </c>
    </row>
    <row r="24" spans="1:16" x14ac:dyDescent="0.25">
      <c r="B24" s="24" t="s">
        <v>133</v>
      </c>
      <c r="C24" s="28">
        <f t="shared" ref="C24:D24" si="13">SUM(C19:C23)</f>
        <v>-426028</v>
      </c>
      <c r="D24" s="109">
        <f t="shared" si="13"/>
        <v>606766</v>
      </c>
      <c r="E24" s="28">
        <f ca="1">SUM(E19:E23)</f>
        <v>342100.52989488002</v>
      </c>
      <c r="F24" s="28">
        <f t="shared" ref="F24:J24" ca="1" si="14">SUM(F19:F23)</f>
        <v>1209104.7920872835</v>
      </c>
      <c r="G24" s="28">
        <f t="shared" ca="1" si="14"/>
        <v>1701106.8626933626</v>
      </c>
      <c r="H24" s="28">
        <f t="shared" ca="1" si="14"/>
        <v>2291707.184143431</v>
      </c>
      <c r="I24" s="28">
        <f t="shared" ca="1" si="14"/>
        <v>3003036.8228709372</v>
      </c>
      <c r="J24" s="28">
        <f t="shared" ca="1" si="14"/>
        <v>3689927.3037185809</v>
      </c>
      <c r="L24" s="66" t="s">
        <v>186</v>
      </c>
      <c r="M24" s="73">
        <f ca="1">M22/M23</f>
        <v>24.132092050562072</v>
      </c>
      <c r="N24" s="5"/>
      <c r="O24" s="74" t="s">
        <v>187</v>
      </c>
      <c r="P24" s="73">
        <f ca="1">P22/P23</f>
        <v>24.238661347789908</v>
      </c>
    </row>
    <row r="25" spans="1:16" x14ac:dyDescent="0.25">
      <c r="B25" s="23" t="s">
        <v>87</v>
      </c>
      <c r="C25" s="26">
        <f t="shared" ref="C25:D25" si="15">C24/C8</f>
        <v>-2.0698438949569818E-2</v>
      </c>
      <c r="D25" s="107">
        <f t="shared" si="15"/>
        <v>2.4884796784645041E-2</v>
      </c>
      <c r="E25" s="26">
        <f ca="1">E24/E8</f>
        <v>1.1851600327839494E-2</v>
      </c>
      <c r="F25" s="26">
        <f ca="1">F24/F8</f>
        <v>3.6853202238344901E-2</v>
      </c>
      <c r="G25" s="26">
        <f ca="1">G24/G8</f>
        <v>4.5598142935001487E-2</v>
      </c>
      <c r="H25" s="26">
        <f ca="1">H24/H8</f>
        <v>5.4077343179842585E-2</v>
      </c>
      <c r="I25" s="26">
        <f ca="1">I24/I8</f>
        <v>6.2433128059724737E-2</v>
      </c>
      <c r="J25" s="26">
        <f ca="1">J24/J8</f>
        <v>6.7630281688598887E-2</v>
      </c>
      <c r="L25" s="94" t="s">
        <v>200</v>
      </c>
      <c r="M25" s="95">
        <f ca="1">(M24-Master!C6)/Master!C6</f>
        <v>0.32303136242116631</v>
      </c>
      <c r="N25" s="5"/>
      <c r="O25" s="75" t="s">
        <v>199</v>
      </c>
      <c r="P25" s="76">
        <f ca="1">(P24-Master!$C$6)/Master!$C$6</f>
        <v>0.32887397740076257</v>
      </c>
    </row>
    <row r="26" spans="1:16" x14ac:dyDescent="0.25">
      <c r="L26" s="1"/>
      <c r="M26" s="64"/>
      <c r="N26" s="5"/>
      <c r="O26" s="1"/>
      <c r="P26" s="64"/>
    </row>
    <row r="27" spans="1:16" s="112" customFormat="1" x14ac:dyDescent="0.25">
      <c r="A27" s="112" t="s">
        <v>255</v>
      </c>
      <c r="B27" s="24" t="s">
        <v>135</v>
      </c>
      <c r="C27" s="28"/>
      <c r="D27" s="147"/>
      <c r="E27" s="28">
        <f ca="1">SUM(E24:E25)</f>
        <v>342100.54174648033</v>
      </c>
      <c r="F27" s="28">
        <f ca="1">SUM(F24:F25)</f>
        <v>1209104.8289404856</v>
      </c>
      <c r="G27" s="28">
        <f ca="1">SUM(G24:G25)</f>
        <v>1701106.9082915056</v>
      </c>
      <c r="H27" s="28">
        <f ca="1">SUM(H24:H25)</f>
        <v>2291707.2382207741</v>
      </c>
      <c r="I27" s="28">
        <f ca="1">SUM(I24:I25)</f>
        <v>3003036.8853040654</v>
      </c>
      <c r="J27" s="28">
        <f ca="1">SUM(J24:J25)</f>
        <v>3689927.3713488625</v>
      </c>
      <c r="L27" s="114"/>
      <c r="M27" s="64"/>
      <c r="N27" s="5"/>
      <c r="O27" s="114"/>
      <c r="P27" s="64"/>
    </row>
    <row r="28" spans="1:16" s="112" customFormat="1" x14ac:dyDescent="0.25">
      <c r="B28" s="22" t="s">
        <v>166</v>
      </c>
      <c r="C28" s="150">
        <f>WACC!C17</f>
        <v>9.1103645874405739E-2</v>
      </c>
      <c r="D28" s="22"/>
      <c r="E28" s="28"/>
      <c r="F28" s="28"/>
      <c r="G28" s="28"/>
      <c r="H28" s="28"/>
      <c r="I28" s="28"/>
      <c r="J28" s="28"/>
      <c r="L28" s="114"/>
      <c r="M28" s="64"/>
      <c r="N28" s="5"/>
      <c r="O28" s="114"/>
      <c r="P28" s="64"/>
    </row>
    <row r="29" spans="1:16" x14ac:dyDescent="0.25">
      <c r="B29" s="22" t="s">
        <v>136</v>
      </c>
      <c r="C29" s="22"/>
      <c r="D29" s="22"/>
      <c r="E29" s="29">
        <f ca="1">1-YEARFRAC(F4,F3)/2</f>
        <v>0.63611111111111107</v>
      </c>
      <c r="F29" s="29">
        <f ca="1">E29+1</f>
        <v>1.6361111111111111</v>
      </c>
      <c r="G29" s="29">
        <f t="shared" ref="G29:J29" ca="1" si="16">F29+1</f>
        <v>2.6361111111111111</v>
      </c>
      <c r="H29" s="29">
        <f t="shared" ca="1" si="16"/>
        <v>3.6361111111111111</v>
      </c>
      <c r="I29" s="29">
        <f t="shared" ca="1" si="16"/>
        <v>4.6361111111111111</v>
      </c>
      <c r="J29" s="29">
        <f t="shared" ca="1" si="16"/>
        <v>5.6361111111111111</v>
      </c>
      <c r="L29" s="5"/>
      <c r="M29" s="5"/>
      <c r="N29" s="5"/>
      <c r="O29" s="64"/>
      <c r="P29" s="64"/>
    </row>
    <row r="30" spans="1:16" x14ac:dyDescent="0.25">
      <c r="B30" s="22" t="s">
        <v>137</v>
      </c>
      <c r="C30" s="22"/>
      <c r="D30" s="22"/>
      <c r="E30" s="29">
        <f ca="1">1/(1+WACC!$C$17)^E29</f>
        <v>0.9460476521551141</v>
      </c>
      <c r="F30" s="29">
        <f ca="1">1/(1+WACC!$C$17)^F29</f>
        <v>0.86705571531378745</v>
      </c>
      <c r="G30" s="29">
        <f ca="1">1/(1+WACC!$C$17)^G29</f>
        <v>0.79465935119200592</v>
      </c>
      <c r="H30" s="29">
        <f ca="1">1/(1+WACC!$C$17)^H29</f>
        <v>0.72830785067643078</v>
      </c>
      <c r="I30" s="29">
        <f ca="1">1/(1+WACC!$C$17)^I29</f>
        <v>0.66749648709382514</v>
      </c>
      <c r="J30" s="29">
        <f ca="1">1/(1+WACC!$C$17)^J29</f>
        <v>0.61176267682516672</v>
      </c>
      <c r="L30" s="127" t="s">
        <v>189</v>
      </c>
      <c r="M30" s="129"/>
      <c r="N30" s="5"/>
      <c r="O30" s="64"/>
      <c r="P30" s="64"/>
    </row>
    <row r="31" spans="1:16" x14ac:dyDescent="0.25">
      <c r="B31" s="24" t="s">
        <v>138</v>
      </c>
      <c r="C31" s="24"/>
      <c r="D31" s="24"/>
      <c r="E31" s="28">
        <f ca="1">E27*E30</f>
        <v>323643.41432025033</v>
      </c>
      <c r="F31" s="28">
        <f ca="1">F27*F30</f>
        <v>1048361.2523463473</v>
      </c>
      <c r="G31" s="28">
        <f ca="1">G27*G30</f>
        <v>1351800.512051167</v>
      </c>
      <c r="H31" s="28">
        <f ca="1">H27*H30</f>
        <v>1669068.3730481912</v>
      </c>
      <c r="I31" s="28">
        <f ca="1">I27*I30</f>
        <v>2004516.5715536459</v>
      </c>
      <c r="J31" s="28">
        <f ca="1">J27*J30</f>
        <v>2257359.845986831</v>
      </c>
      <c r="L31" s="50" t="s">
        <v>190</v>
      </c>
      <c r="M31" s="63">
        <v>0.5</v>
      </c>
      <c r="N31" s="5"/>
      <c r="O31" s="64"/>
      <c r="P31" s="64"/>
    </row>
    <row r="32" spans="1:16" x14ac:dyDescent="0.25">
      <c r="L32" s="52" t="s">
        <v>170</v>
      </c>
      <c r="M32" s="63">
        <v>0.5</v>
      </c>
      <c r="N32" s="5"/>
      <c r="O32" s="1"/>
      <c r="P32" s="64"/>
    </row>
    <row r="33" spans="2:16" x14ac:dyDescent="0.25">
      <c r="E33" s="121"/>
      <c r="L33" s="77" t="s">
        <v>191</v>
      </c>
      <c r="M33" s="78">
        <f ca="1">M31*M24+M32*P24</f>
        <v>24.18537669917599</v>
      </c>
      <c r="N33" s="5"/>
      <c r="O33" s="64"/>
      <c r="P33" s="5"/>
    </row>
    <row r="34" spans="2:16" x14ac:dyDescent="0.25">
      <c r="L34" s="54" t="s">
        <v>188</v>
      </c>
      <c r="M34" s="76">
        <f ca="1">(M33-Master!$C$6)/Master!$C$6</f>
        <v>0.32595266991096444</v>
      </c>
      <c r="N34" s="5"/>
      <c r="O34" s="5" t="s">
        <v>109</v>
      </c>
      <c r="P34" s="5"/>
    </row>
    <row r="37" spans="2:16" x14ac:dyDescent="0.25">
      <c r="E37" s="26"/>
      <c r="F37" s="26"/>
      <c r="G37" s="26"/>
      <c r="H37" s="26"/>
      <c r="I37" s="26"/>
    </row>
    <row r="38" spans="2:16" x14ac:dyDescent="0.25">
      <c r="E38" s="26"/>
      <c r="F38" s="26"/>
      <c r="G38" s="26"/>
      <c r="H38" s="26"/>
      <c r="I38" s="26"/>
    </row>
    <row r="40" spans="2:16" x14ac:dyDescent="0.25">
      <c r="B40" s="112"/>
      <c r="G40" s="112"/>
      <c r="H40" s="112"/>
    </row>
    <row r="41" spans="2:16" x14ac:dyDescent="0.25">
      <c r="B41" s="112"/>
      <c r="E41" s="119"/>
      <c r="F41" s="119"/>
    </row>
    <row r="42" spans="2:16" x14ac:dyDescent="0.25">
      <c r="B42" s="112"/>
      <c r="E42" s="119"/>
      <c r="F42" s="119"/>
    </row>
    <row r="43" spans="2:16" x14ac:dyDescent="0.25">
      <c r="B43" s="112"/>
      <c r="E43" s="119"/>
      <c r="F43" s="119"/>
    </row>
    <row r="44" spans="2:16" x14ac:dyDescent="0.25">
      <c r="B44" s="112"/>
      <c r="E44" s="119"/>
      <c r="F44" s="119"/>
    </row>
    <row r="45" spans="2:16" x14ac:dyDescent="0.25">
      <c r="B45" s="112"/>
      <c r="E45" s="119"/>
      <c r="F45" s="119"/>
    </row>
  </sheetData>
  <mergeCells count="3">
    <mergeCell ref="L7:M7"/>
    <mergeCell ref="O7:P7"/>
    <mergeCell ref="L30:M30"/>
  </mergeCells>
  <phoneticPr fontId="21" type="noConversion"/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5BBCC-617D-45CB-B3C4-E437C1D52179}">
  <dimension ref="A3:R74"/>
  <sheetViews>
    <sheetView showGridLines="0" topLeftCell="A45" workbookViewId="0">
      <selection activeCell="B78" sqref="B78"/>
    </sheetView>
  </sheetViews>
  <sheetFormatPr defaultRowHeight="15" x14ac:dyDescent="0.25"/>
  <cols>
    <col min="1" max="1" width="3.7109375" style="112" customWidth="1"/>
    <col min="2" max="2" width="30" style="112" bestFit="1" customWidth="1"/>
    <col min="3" max="3" width="13.5703125" style="112" bestFit="1" customWidth="1"/>
    <col min="4" max="4" width="17.140625" style="112" bestFit="1" customWidth="1"/>
    <col min="5" max="9" width="14.7109375" style="112" bestFit="1" customWidth="1"/>
    <col min="10" max="10" width="13.42578125" style="112" bestFit="1" customWidth="1"/>
    <col min="11" max="11" width="3.7109375" style="112" customWidth="1"/>
    <col min="12" max="12" width="13.42578125" style="112" customWidth="1"/>
    <col min="13" max="13" width="3.7109375" style="112" customWidth="1"/>
    <col min="14" max="14" width="21.85546875" style="112" bestFit="1" customWidth="1"/>
    <col min="15" max="15" width="13.5703125" style="112" bestFit="1" customWidth="1"/>
    <col min="16" max="16" width="32.5703125" style="112" bestFit="1" customWidth="1"/>
    <col min="17" max="17" width="21.85546875" style="112" bestFit="1" customWidth="1"/>
    <col min="18" max="18" width="13.5703125" style="112" bestFit="1" customWidth="1"/>
    <col min="19" max="16384" width="9.140625" style="112"/>
  </cols>
  <sheetData>
    <row r="3" spans="1:18" x14ac:dyDescent="0.25">
      <c r="A3" s="112" t="s">
        <v>255</v>
      </c>
      <c r="D3" s="114" t="s">
        <v>72</v>
      </c>
      <c r="E3" s="93">
        <f ca="1">TODAY()</f>
        <v>45391</v>
      </c>
    </row>
    <row r="4" spans="1:18" x14ac:dyDescent="0.25">
      <c r="D4" s="114" t="s">
        <v>153</v>
      </c>
      <c r="E4" s="93">
        <v>45657</v>
      </c>
    </row>
    <row r="7" spans="1:18" x14ac:dyDescent="0.25">
      <c r="C7" s="32" t="s">
        <v>211</v>
      </c>
      <c r="D7" s="31" t="s">
        <v>210</v>
      </c>
      <c r="E7" s="30" t="s">
        <v>139</v>
      </c>
      <c r="F7" s="30" t="s">
        <v>140</v>
      </c>
      <c r="G7" s="30" t="s">
        <v>141</v>
      </c>
      <c r="H7" s="30" t="s">
        <v>142</v>
      </c>
      <c r="I7" s="30" t="s">
        <v>143</v>
      </c>
      <c r="J7" s="31" t="s">
        <v>209</v>
      </c>
      <c r="L7" s="110" t="s">
        <v>213</v>
      </c>
      <c r="N7" s="127" t="s">
        <v>170</v>
      </c>
      <c r="O7" s="128"/>
      <c r="Q7" s="127" t="s">
        <v>197</v>
      </c>
      <c r="R7" s="128"/>
    </row>
    <row r="8" spans="1:18" x14ac:dyDescent="0.25">
      <c r="A8" s="112" t="s">
        <v>255</v>
      </c>
      <c r="B8" s="24" t="s">
        <v>124</v>
      </c>
      <c r="C8" s="25">
        <f>'Operating '!D9</f>
        <v>20582615</v>
      </c>
      <c r="D8" s="106">
        <f>'Operating '!E9</f>
        <v>24383000</v>
      </c>
      <c r="E8" s="25">
        <f>D8*(1+$L$9)</f>
        <v>26553087</v>
      </c>
      <c r="F8" s="25">
        <f t="shared" ref="F8:J8" si="0">E8*(1+$L$9)</f>
        <v>28916311.743000001</v>
      </c>
      <c r="G8" s="25">
        <f t="shared" si="0"/>
        <v>31489863.488127001</v>
      </c>
      <c r="H8" s="25">
        <f t="shared" si="0"/>
        <v>34292461.338570304</v>
      </c>
      <c r="I8" s="25">
        <f t="shared" si="0"/>
        <v>37344490.397703059</v>
      </c>
      <c r="J8" s="25">
        <f t="shared" si="0"/>
        <v>40668150.043098629</v>
      </c>
      <c r="N8" s="50" t="s">
        <v>171</v>
      </c>
      <c r="O8" s="51">
        <f ca="1">J29</f>
        <v>3117620.3823039462</v>
      </c>
      <c r="P8" s="118" t="s">
        <v>214</v>
      </c>
      <c r="Q8" s="50" t="s">
        <v>216</v>
      </c>
      <c r="R8" s="51">
        <f ca="1">J23</f>
        <v>2594728.1120006992</v>
      </c>
    </row>
    <row r="9" spans="1:18" x14ac:dyDescent="0.25">
      <c r="B9" s="23" t="s">
        <v>84</v>
      </c>
      <c r="C9" s="26"/>
      <c r="D9" s="107">
        <f>D8/C8-1</f>
        <v>0.18464053279916093</v>
      </c>
      <c r="E9" s="26">
        <f t="shared" ref="E9:J9" si="1">E8/D8-1</f>
        <v>8.8999999999999968E-2</v>
      </c>
      <c r="F9" s="26">
        <f t="shared" si="1"/>
        <v>8.8999999999999968E-2</v>
      </c>
      <c r="G9" s="26">
        <f t="shared" si="1"/>
        <v>8.8999999999999968E-2</v>
      </c>
      <c r="H9" s="26">
        <f t="shared" si="1"/>
        <v>8.8999999999999968E-2</v>
      </c>
      <c r="I9" s="26">
        <f t="shared" si="1"/>
        <v>8.8999999999999968E-2</v>
      </c>
      <c r="J9" s="26">
        <f t="shared" si="1"/>
        <v>8.8999999999999968E-2</v>
      </c>
      <c r="L9" s="152">
        <v>8.8999999999999996E-2</v>
      </c>
      <c r="N9" s="54" t="s">
        <v>172</v>
      </c>
      <c r="O9" s="105">
        <v>12.73</v>
      </c>
      <c r="P9" s="118" t="s">
        <v>215</v>
      </c>
      <c r="Q9" s="52" t="s">
        <v>198</v>
      </c>
      <c r="R9" s="104">
        <v>0.02</v>
      </c>
    </row>
    <row r="10" spans="1:18" x14ac:dyDescent="0.25">
      <c r="D10" s="49"/>
      <c r="N10" s="55" t="s">
        <v>173</v>
      </c>
      <c r="O10" s="56">
        <f ca="1">O8*O9</f>
        <v>39687307.466729239</v>
      </c>
      <c r="Q10" s="55" t="s">
        <v>173</v>
      </c>
      <c r="R10" s="56">
        <f ca="1">R8*(1+R9)/(WACC!C17-R9)</f>
        <v>37222038.922105171</v>
      </c>
    </row>
    <row r="11" spans="1:18" x14ac:dyDescent="0.25">
      <c r="B11" s="24" t="s">
        <v>128</v>
      </c>
      <c r="C11" s="28">
        <f t="shared" ref="C11:J11" si="2">C12*C8</f>
        <v>-112019</v>
      </c>
      <c r="D11" s="109">
        <f t="shared" si="2"/>
        <v>473000</v>
      </c>
      <c r="E11" s="28">
        <f t="shared" ca="1" si="2"/>
        <v>770039.52299999841</v>
      </c>
      <c r="F11" s="28">
        <f t="shared" ca="1" si="2"/>
        <v>1162435.7320686011</v>
      </c>
      <c r="G11" s="28">
        <f t="shared" ca="1" si="2"/>
        <v>1517811.4201277213</v>
      </c>
      <c r="H11" s="28">
        <f t="shared" ca="1" si="2"/>
        <v>1927236.327227653</v>
      </c>
      <c r="I11" s="28">
        <f t="shared" ca="1" si="2"/>
        <v>2397516.2835325412</v>
      </c>
      <c r="J11" s="28">
        <f t="shared" ca="1" si="2"/>
        <v>2732899.6828962332</v>
      </c>
      <c r="N11" s="52"/>
      <c r="O11" s="58"/>
      <c r="Q11" s="52"/>
      <c r="R11" s="57"/>
    </row>
    <row r="12" spans="1:18" x14ac:dyDescent="0.25">
      <c r="B12" s="23" t="s">
        <v>87</v>
      </c>
      <c r="C12" s="141">
        <f>'Operating '!D20</f>
        <v>-5.4424085569302052E-3</v>
      </c>
      <c r="D12" s="145">
        <f>'Operating '!E20</f>
        <v>1.9398761432145348E-2</v>
      </c>
      <c r="E12" s="141">
        <f ca="1">DCF!E16</f>
        <v>2.8999999999999942E-2</v>
      </c>
      <c r="F12" s="141">
        <f ca="1">DCF!F16</f>
        <v>4.0200000000000034E-2</v>
      </c>
      <c r="G12" s="141">
        <f ca="1">DCF!G16</f>
        <v>4.8199999999999993E-2</v>
      </c>
      <c r="H12" s="141">
        <f ca="1">DCF!H16</f>
        <v>5.6200000000000055E-2</v>
      </c>
      <c r="I12" s="141">
        <f ca="1">DCF!I16</f>
        <v>6.4200000000000132E-2</v>
      </c>
      <c r="J12" s="141">
        <f ca="1">DCF!J16</f>
        <v>6.7200000000000135E-2</v>
      </c>
      <c r="N12" s="52" t="s">
        <v>174</v>
      </c>
      <c r="O12" s="59">
        <f ca="1">SUM(E27:J27)</f>
        <v>6248835.4556544442</v>
      </c>
      <c r="Q12" s="52" t="s">
        <v>174</v>
      </c>
      <c r="R12" s="57">
        <f ca="1">SUM(E27:J27)</f>
        <v>6248835.4556544442</v>
      </c>
    </row>
    <row r="13" spans="1:18" x14ac:dyDescent="0.25">
      <c r="B13" s="23"/>
      <c r="C13" s="26"/>
      <c r="D13" s="107"/>
      <c r="E13" s="26"/>
      <c r="F13" s="26"/>
      <c r="G13" s="26"/>
      <c r="H13" s="26"/>
      <c r="I13" s="26"/>
      <c r="J13" s="26"/>
      <c r="L13" s="115"/>
      <c r="N13" s="52" t="s">
        <v>175</v>
      </c>
      <c r="O13" s="61">
        <f ca="1">O10*J26</f>
        <v>24279213.451829705</v>
      </c>
      <c r="Q13" s="52" t="s">
        <v>175</v>
      </c>
      <c r="R13" s="60">
        <f ca="1">R10*J26</f>
        <v>22771054.167877603</v>
      </c>
    </row>
    <row r="14" spans="1:18" x14ac:dyDescent="0.25">
      <c r="B14" s="22" t="s">
        <v>129</v>
      </c>
      <c r="C14" s="27">
        <f>C11*C15</f>
        <v>-1063</v>
      </c>
      <c r="D14" s="108">
        <f t="shared" ref="D14:J14" si="3">D11*-D15</f>
        <v>776000</v>
      </c>
      <c r="E14" s="27">
        <f t="shared" ca="1" si="3"/>
        <v>-164480.44211279968</v>
      </c>
      <c r="F14" s="27">
        <f t="shared" ca="1" si="3"/>
        <v>-267360.21837577823</v>
      </c>
      <c r="G14" s="27">
        <f t="shared" ca="1" si="3"/>
        <v>-349096.62662937591</v>
      </c>
      <c r="H14" s="27">
        <f t="shared" ca="1" si="3"/>
        <v>-443264.35526236019</v>
      </c>
      <c r="I14" s="27">
        <f t="shared" ca="1" si="3"/>
        <v>-551428.7452124845</v>
      </c>
      <c r="J14" s="27">
        <f t="shared" ca="1" si="3"/>
        <v>-628566.92706613371</v>
      </c>
      <c r="N14" s="52" t="s">
        <v>176</v>
      </c>
      <c r="O14" s="62">
        <f ca="1">SUM(O12:O13)</f>
        <v>30528048.907484151</v>
      </c>
      <c r="Q14" s="55" t="s">
        <v>176</v>
      </c>
      <c r="R14" s="56">
        <f ca="1">SUM(R12:R13)</f>
        <v>29019889.623532049</v>
      </c>
    </row>
    <row r="15" spans="1:18" x14ac:dyDescent="0.25">
      <c r="B15" s="23" t="s">
        <v>130</v>
      </c>
      <c r="C15" s="141">
        <f>'Operating '!D28</f>
        <v>9.4894616091912975E-3</v>
      </c>
      <c r="D15" s="145">
        <f>-'Operating '!E28</f>
        <v>-1.6405919661733614</v>
      </c>
      <c r="E15" s="141">
        <f ca="1">'Operating '!F28</f>
        <v>0.21360000000000001</v>
      </c>
      <c r="F15" s="141">
        <f ca="1">'Operating '!G28</f>
        <v>0.23</v>
      </c>
      <c r="G15" s="141">
        <f ca="1">'Operating '!H28</f>
        <v>0.23</v>
      </c>
      <c r="H15" s="141">
        <f ca="1">'Operating '!I28</f>
        <v>0.23</v>
      </c>
      <c r="I15" s="141">
        <f ca="1">'Operating '!J28</f>
        <v>0.23</v>
      </c>
      <c r="J15" s="141">
        <f ca="1">'Operating '!K28</f>
        <v>0.23</v>
      </c>
      <c r="N15" s="52"/>
      <c r="O15" s="58"/>
      <c r="Q15" s="52"/>
      <c r="R15" s="57"/>
    </row>
    <row r="16" spans="1:18" x14ac:dyDescent="0.25">
      <c r="B16" s="24" t="s">
        <v>113</v>
      </c>
      <c r="C16" s="28">
        <f t="shared" ref="C16:J16" si="4">C11+C14</f>
        <v>-113082</v>
      </c>
      <c r="D16" s="109">
        <f t="shared" si="4"/>
        <v>1249000</v>
      </c>
      <c r="E16" s="28">
        <f t="shared" ca="1" si="4"/>
        <v>605559.08088719868</v>
      </c>
      <c r="F16" s="28">
        <f t="shared" ca="1" si="4"/>
        <v>895075.51369282277</v>
      </c>
      <c r="G16" s="28">
        <f t="shared" ca="1" si="4"/>
        <v>1168714.7934983454</v>
      </c>
      <c r="H16" s="28">
        <f t="shared" ca="1" si="4"/>
        <v>1483971.9719652929</v>
      </c>
      <c r="I16" s="28">
        <f t="shared" ca="1" si="4"/>
        <v>1846087.5383200566</v>
      </c>
      <c r="J16" s="28">
        <f t="shared" ca="1" si="4"/>
        <v>2104332.7558300993</v>
      </c>
      <c r="N16" s="52" t="s">
        <v>177</v>
      </c>
      <c r="O16" s="63">
        <f ca="1">O12/O14</f>
        <v>0.20469160916872423</v>
      </c>
      <c r="Q16" s="52" t="s">
        <v>177</v>
      </c>
      <c r="R16" s="63">
        <f ca="1">R12/R14</f>
        <v>0.21532940120445193</v>
      </c>
    </row>
    <row r="17" spans="2:18" x14ac:dyDescent="0.25">
      <c r="B17" s="22" t="s">
        <v>92</v>
      </c>
      <c r="C17" s="27">
        <f>'Operating '!D22</f>
        <v>230965</v>
      </c>
      <c r="D17" s="108">
        <f>'Operating '!E22</f>
        <v>275000</v>
      </c>
      <c r="E17" s="27">
        <f ca="1">E37</f>
        <v>309476.22898499999</v>
      </c>
      <c r="F17" s="27">
        <f t="shared" ref="F17:J17" ca="1" si="5">F37</f>
        <v>339043.755186675</v>
      </c>
      <c r="G17" s="27">
        <f t="shared" ca="1" si="5"/>
        <v>357764.21155448293</v>
      </c>
      <c r="H17" s="27">
        <f t="shared" ca="1" si="5"/>
        <v>372501.86129022</v>
      </c>
      <c r="I17" s="27">
        <f t="shared" ca="1" si="5"/>
        <v>381987.45615550526</v>
      </c>
      <c r="J17" s="27">
        <f t="shared" ca="1" si="5"/>
        <v>384720.6994077132</v>
      </c>
      <c r="N17" s="54" t="s">
        <v>178</v>
      </c>
      <c r="O17" s="53">
        <f ca="1">O13/O14</f>
        <v>0.79530839083127569</v>
      </c>
      <c r="Q17" s="54" t="s">
        <v>178</v>
      </c>
      <c r="R17" s="53">
        <f ca="1">R13/R14</f>
        <v>0.78467059879554801</v>
      </c>
    </row>
    <row r="18" spans="2:18" x14ac:dyDescent="0.25">
      <c r="B18" s="22" t="s">
        <v>146</v>
      </c>
      <c r="C18" s="27">
        <f>Assumptions!D115</f>
        <v>249345</v>
      </c>
      <c r="D18" s="108">
        <f>Assumptions!E115</f>
        <v>262266</v>
      </c>
      <c r="E18" s="27">
        <f ca="1">E74</f>
        <v>396968.65065000008</v>
      </c>
      <c r="F18" s="27">
        <f t="shared" ref="F18:J18" ca="1" si="6">F74</f>
        <v>420645.58692542103</v>
      </c>
      <c r="G18" s="27">
        <f t="shared" ca="1" si="6"/>
        <v>451942.52078159869</v>
      </c>
      <c r="H18" s="27">
        <f t="shared" ca="1" si="6"/>
        <v>485478.37517013983</v>
      </c>
      <c r="I18" s="27">
        <f t="shared" ca="1" si="6"/>
        <v>521403.77493273013</v>
      </c>
      <c r="J18" s="27">
        <f t="shared" ca="1" si="6"/>
        <v>559878.42164333886</v>
      </c>
      <c r="N18" s="5"/>
      <c r="O18" s="5"/>
      <c r="Q18" s="114"/>
      <c r="R18" s="64"/>
    </row>
    <row r="19" spans="2:18" x14ac:dyDescent="0.25">
      <c r="B19" s="22" t="s">
        <v>131</v>
      </c>
      <c r="C19" s="27">
        <f>'Operating '!D32</f>
        <v>-811080</v>
      </c>
      <c r="D19" s="108">
        <f>'Operating '!E32</f>
        <v>-877000</v>
      </c>
      <c r="E19" s="27">
        <f ca="1">-E35</f>
        <v>-982464.21899999992</v>
      </c>
      <c r="F19" s="27">
        <f t="shared" ref="F19:J19" ca="1" si="7">-F35</f>
        <v>-968696.44339050003</v>
      </c>
      <c r="G19" s="27">
        <f t="shared" ca="1" si="7"/>
        <v>-960440.83638787363</v>
      </c>
      <c r="H19" s="27">
        <f t="shared" ca="1" si="7"/>
        <v>-943042.68681068346</v>
      </c>
      <c r="I19" s="27">
        <f t="shared" ca="1" si="7"/>
        <v>-914940.01474372507</v>
      </c>
      <c r="J19" s="27">
        <f t="shared" ca="1" si="7"/>
        <v>-874365.22592662077</v>
      </c>
      <c r="N19" s="66" t="s">
        <v>192</v>
      </c>
      <c r="O19" s="67">
        <f ca="1">O14</f>
        <v>30528048.907484151</v>
      </c>
      <c r="Q19" s="65" t="s">
        <v>179</v>
      </c>
      <c r="R19" s="100">
        <f ca="1">R14</f>
        <v>29019889.623532049</v>
      </c>
    </row>
    <row r="20" spans="2:18" x14ac:dyDescent="0.25">
      <c r="B20" s="22" t="s">
        <v>132</v>
      </c>
      <c r="C20" s="27">
        <f>-'Operating '!D49</f>
        <v>15698</v>
      </c>
      <c r="D20" s="108">
        <f>-'Operating '!E49</f>
        <v>1249500</v>
      </c>
      <c r="E20" s="27">
        <f t="shared" ref="E20:J20" ca="1" si="8">-E71</f>
        <v>-247708.33694999944</v>
      </c>
      <c r="F20" s="27">
        <f t="shared" ca="1" si="8"/>
        <v>268195.73781131906</v>
      </c>
      <c r="G20" s="27">
        <f t="shared" ca="1" si="8"/>
        <v>294083.08329151198</v>
      </c>
      <c r="H20" s="27">
        <f t="shared" ca="1" si="8"/>
        <v>322383.93288171617</v>
      </c>
      <c r="I20" s="27">
        <f t="shared" ca="1" si="8"/>
        <v>353316.60086974315</v>
      </c>
      <c r="J20" s="27">
        <f t="shared" ca="1" si="8"/>
        <v>420161.46104616858</v>
      </c>
      <c r="N20" s="68" t="s">
        <v>180</v>
      </c>
      <c r="O20" s="69">
        <f>-WACC!C14</f>
        <v>-2787000</v>
      </c>
      <c r="Q20" s="52" t="s">
        <v>180</v>
      </c>
      <c r="R20" s="57">
        <f>-WACC!C14</f>
        <v>-2787000</v>
      </c>
    </row>
    <row r="21" spans="2:18" x14ac:dyDescent="0.25">
      <c r="B21" s="24" t="s">
        <v>133</v>
      </c>
      <c r="C21" s="28">
        <f t="shared" ref="C21:D21" si="9">SUM(C16:C20)</f>
        <v>-428154</v>
      </c>
      <c r="D21" s="109">
        <f t="shared" si="9"/>
        <v>2158766</v>
      </c>
      <c r="E21" s="28">
        <f ca="1">SUM(E16:E20)</f>
        <v>81831.404572199215</v>
      </c>
      <c r="F21" s="28">
        <f ca="1">SUM(F16:F20)</f>
        <v>954264.15022573783</v>
      </c>
      <c r="G21" s="28">
        <f t="shared" ref="G21:I21" ca="1" si="10">SUM(G16:G20)</f>
        <v>1312063.7727380653</v>
      </c>
      <c r="H21" s="28">
        <f t="shared" ca="1" si="10"/>
        <v>1721293.4544966854</v>
      </c>
      <c r="I21" s="28">
        <f t="shared" ca="1" si="10"/>
        <v>2187855.3555343105</v>
      </c>
      <c r="J21" s="28">
        <f ca="1">SUM(J16:J20)</f>
        <v>2594728.1120006992</v>
      </c>
      <c r="N21" s="68" t="s">
        <v>181</v>
      </c>
      <c r="O21" s="70">
        <v>4893200</v>
      </c>
      <c r="Q21" s="52" t="s">
        <v>181</v>
      </c>
      <c r="R21" s="70">
        <v>4893200</v>
      </c>
    </row>
    <row r="22" spans="2:18" x14ac:dyDescent="0.25">
      <c r="B22" s="22" t="s">
        <v>134</v>
      </c>
      <c r="D22" s="49"/>
      <c r="E22" s="27"/>
      <c r="F22" s="27"/>
      <c r="G22" s="27"/>
      <c r="H22" s="27"/>
      <c r="I22" s="27"/>
      <c r="J22" s="27"/>
      <c r="N22" s="71" t="s">
        <v>183</v>
      </c>
      <c r="O22" s="72">
        <f ca="1">SUM(O19:O21)</f>
        <v>32634248.907484151</v>
      </c>
      <c r="Q22" s="55" t="s">
        <v>182</v>
      </c>
      <c r="R22" s="56">
        <f ca="1">SUM(R19:R21)</f>
        <v>31126089.623532049</v>
      </c>
    </row>
    <row r="23" spans="2:18" x14ac:dyDescent="0.25">
      <c r="B23" s="24" t="s">
        <v>212</v>
      </c>
      <c r="C23" s="28">
        <f t="shared" ref="C23:I23" si="11">SUM(C21:C22)</f>
        <v>-428154</v>
      </c>
      <c r="D23" s="109">
        <f t="shared" si="11"/>
        <v>2158766</v>
      </c>
      <c r="E23" s="28">
        <f t="shared" ca="1" si="11"/>
        <v>81831.404572199215</v>
      </c>
      <c r="F23" s="28">
        <f ca="1">SUM(F21:F22)</f>
        <v>954264.15022573783</v>
      </c>
      <c r="G23" s="28">
        <f t="shared" ca="1" si="11"/>
        <v>1312063.7727380653</v>
      </c>
      <c r="H23" s="28">
        <f t="shared" ca="1" si="11"/>
        <v>1721293.4544966854</v>
      </c>
      <c r="I23" s="28">
        <f t="shared" ca="1" si="11"/>
        <v>2187855.3555343105</v>
      </c>
      <c r="J23" s="28">
        <f ca="1">SUM(J21:J22)</f>
        <v>2594728.1120006992</v>
      </c>
      <c r="N23" s="68" t="s">
        <v>185</v>
      </c>
      <c r="O23" s="70">
        <f>DCF!M23</f>
        <v>1787800</v>
      </c>
      <c r="Q23" s="52" t="s">
        <v>184</v>
      </c>
      <c r="R23" s="70">
        <v>1787800</v>
      </c>
    </row>
    <row r="24" spans="2:18" x14ac:dyDescent="0.25">
      <c r="B24" s="23" t="s">
        <v>87</v>
      </c>
      <c r="C24" s="111">
        <f>C23/C8</f>
        <v>-2.0801730003694865E-2</v>
      </c>
      <c r="D24" s="107">
        <f t="shared" ref="D24:J24" si="12">D23/D8</f>
        <v>8.8535701103227657E-2</v>
      </c>
      <c r="E24" s="111">
        <f ca="1">E23/E8</f>
        <v>3.0818038057947544E-3</v>
      </c>
      <c r="F24" s="111">
        <f t="shared" ca="1" si="12"/>
        <v>3.3000894398530753E-2</v>
      </c>
      <c r="G24" s="111">
        <f t="shared" ca="1" si="12"/>
        <v>4.1666226124885186E-2</v>
      </c>
      <c r="H24" s="111">
        <f t="shared" ca="1" si="12"/>
        <v>5.01945146923784E-2</v>
      </c>
      <c r="I24" s="111">
        <f t="shared" ca="1" si="12"/>
        <v>5.8585760101010201E-2</v>
      </c>
      <c r="J24" s="111">
        <f t="shared" ca="1" si="12"/>
        <v>6.3802462350780659E-2</v>
      </c>
      <c r="N24" s="74" t="s">
        <v>187</v>
      </c>
      <c r="O24" s="73">
        <f ca="1">O22/O23</f>
        <v>18.253858881018097</v>
      </c>
      <c r="Q24" s="66" t="s">
        <v>186</v>
      </c>
      <c r="R24" s="73">
        <f ca="1">R22/R23</f>
        <v>17.410274987991972</v>
      </c>
    </row>
    <row r="25" spans="2:18" x14ac:dyDescent="0.25">
      <c r="B25" s="22" t="s">
        <v>136</v>
      </c>
      <c r="D25" s="49"/>
      <c r="E25" s="29">
        <f ca="1">1-YEARFRAC(E4,E3)/2</f>
        <v>0.63611111111111107</v>
      </c>
      <c r="F25" s="29">
        <f ca="1">E25+1</f>
        <v>1.6361111111111111</v>
      </c>
      <c r="G25" s="29">
        <f t="shared" ref="G25:J25" ca="1" si="13">F25+1</f>
        <v>2.6361111111111111</v>
      </c>
      <c r="H25" s="29">
        <f t="shared" ca="1" si="13"/>
        <v>3.6361111111111111</v>
      </c>
      <c r="I25" s="29">
        <f t="shared" ca="1" si="13"/>
        <v>4.6361111111111111</v>
      </c>
      <c r="J25" s="29">
        <f t="shared" ca="1" si="13"/>
        <v>5.6361111111111111</v>
      </c>
      <c r="N25" s="75" t="s">
        <v>199</v>
      </c>
      <c r="O25" s="76">
        <f ca="1">(O24-Master!$C$6)/Master!$C$6</f>
        <v>7.5980707336065797E-4</v>
      </c>
      <c r="Q25" s="94" t="s">
        <v>200</v>
      </c>
      <c r="R25" s="76">
        <f ca="1">(R24-Master!$C$6)/Master!$C$6</f>
        <v>-4.54893098688611E-2</v>
      </c>
    </row>
    <row r="26" spans="2:18" x14ac:dyDescent="0.25">
      <c r="B26" s="22" t="s">
        <v>137</v>
      </c>
      <c r="D26" s="49"/>
      <c r="E26" s="29">
        <f ca="1">1/(1+WACC!$C$17)^E25</f>
        <v>0.9460476521551141</v>
      </c>
      <c r="F26" s="29">
        <f ca="1">1/(1+WACC!$C$17)^F25</f>
        <v>0.86705571531378745</v>
      </c>
      <c r="G26" s="29">
        <f ca="1">1/(1+WACC!$C$17)^G25</f>
        <v>0.79465935119200592</v>
      </c>
      <c r="H26" s="29">
        <f ca="1">1/(1+WACC!$C$17)^H25</f>
        <v>0.72830785067643078</v>
      </c>
      <c r="I26" s="29">
        <f ca="1">1/(1+WACC!$C$17)^I25</f>
        <v>0.66749648709382514</v>
      </c>
      <c r="J26" s="29">
        <f ca="1">1/(1+WACC!$C$17)^J25</f>
        <v>0.61176267682516672</v>
      </c>
    </row>
    <row r="27" spans="2:18" x14ac:dyDescent="0.25">
      <c r="B27" s="24" t="s">
        <v>138</v>
      </c>
      <c r="D27" s="49"/>
      <c r="E27" s="28">
        <f ca="1">E23*E26</f>
        <v>77416.408168084337</v>
      </c>
      <c r="F27" s="28">
        <f ca="1">F23*F26</f>
        <v>827400.18537228066</v>
      </c>
      <c r="G27" s="28">
        <f t="shared" ref="G27:J27" ca="1" si="14">G23*G26</f>
        <v>1042643.7463665665</v>
      </c>
      <c r="H27" s="28">
        <f t="shared" ca="1" si="14"/>
        <v>1253631.5362278896</v>
      </c>
      <c r="I27" s="28">
        <f t="shared" ca="1" si="14"/>
        <v>1460385.7640885641</v>
      </c>
      <c r="J27" s="28">
        <f t="shared" ca="1" si="14"/>
        <v>1587357.8154310586</v>
      </c>
    </row>
    <row r="28" spans="2:18" x14ac:dyDescent="0.25">
      <c r="D28" s="49"/>
    </row>
    <row r="29" spans="2:18" x14ac:dyDescent="0.25">
      <c r="B29" s="24" t="s">
        <v>126</v>
      </c>
      <c r="C29" s="28">
        <f t="shared" ref="C29:J29" si="15">C11+C17</f>
        <v>118946</v>
      </c>
      <c r="D29" s="109">
        <f t="shared" si="15"/>
        <v>748000</v>
      </c>
      <c r="E29" s="28">
        <f ca="1">E11+E17</f>
        <v>1079515.7519849984</v>
      </c>
      <c r="F29" s="28">
        <f ca="1">F11+F17</f>
        <v>1501479.4872552762</v>
      </c>
      <c r="G29" s="28">
        <f ca="1">G11+G17</f>
        <v>1875575.6316822041</v>
      </c>
      <c r="H29" s="28">
        <f t="shared" ca="1" si="15"/>
        <v>2299738.1885178732</v>
      </c>
      <c r="I29" s="28">
        <f t="shared" ca="1" si="15"/>
        <v>2779503.7396880463</v>
      </c>
      <c r="J29" s="28">
        <f t="shared" ca="1" si="15"/>
        <v>3117620.3823039462</v>
      </c>
    </row>
    <row r="30" spans="2:18" x14ac:dyDescent="0.25">
      <c r="B30" s="23" t="s">
        <v>87</v>
      </c>
      <c r="C30" s="26">
        <f t="shared" ref="C30:J30" si="16">C29/C8</f>
        <v>5.7789547149378253E-3</v>
      </c>
      <c r="D30" s="107">
        <f t="shared" si="16"/>
        <v>3.0677111101997293E-2</v>
      </c>
      <c r="E30" s="26">
        <f t="shared" ca="1" si="16"/>
        <v>4.0654999999999941E-2</v>
      </c>
      <c r="F30" s="26">
        <f t="shared" ca="1" si="16"/>
        <v>5.1925000000000041E-2</v>
      </c>
      <c r="G30" s="26">
        <f t="shared" ca="1" si="16"/>
        <v>5.9561249999999989E-2</v>
      </c>
      <c r="H30" s="26">
        <f t="shared" ca="1" si="16"/>
        <v>6.7062500000000067E-2</v>
      </c>
      <c r="I30" s="26">
        <f t="shared" ca="1" si="16"/>
        <v>7.4428750000000127E-2</v>
      </c>
      <c r="J30" s="26">
        <f t="shared" ca="1" si="16"/>
        <v>7.6660000000000131E-2</v>
      </c>
    </row>
    <row r="33" spans="1:15" x14ac:dyDescent="0.25">
      <c r="A33" s="112" t="s">
        <v>255</v>
      </c>
      <c r="B33" s="130" t="s">
        <v>217</v>
      </c>
      <c r="C33" s="131"/>
      <c r="D33" s="131"/>
      <c r="E33" s="131"/>
      <c r="F33" s="131"/>
      <c r="G33" s="131"/>
      <c r="H33" s="131"/>
      <c r="I33" s="131"/>
      <c r="J33" s="132"/>
    </row>
    <row r="34" spans="1:15" x14ac:dyDescent="0.25">
      <c r="B34" s="17" t="s">
        <v>228</v>
      </c>
      <c r="E34" s="141">
        <f ca="1">Assumptions!F32</f>
        <v>3.6999999999999998E-2</v>
      </c>
      <c r="F34" s="141">
        <f ca="1">Assumptions!G32</f>
        <v>3.3500000000000002E-2</v>
      </c>
      <c r="G34" s="141">
        <f ca="1">Assumptions!H32</f>
        <v>3.0500000000000003E-2</v>
      </c>
      <c r="H34" s="141">
        <f ca="1">Assumptions!I32</f>
        <v>2.7500000000000004E-2</v>
      </c>
      <c r="I34" s="141">
        <f ca="1">Assumptions!J32</f>
        <v>2.4500000000000004E-2</v>
      </c>
      <c r="J34" s="141">
        <f ca="1">Assumptions!K32</f>
        <v>2.1500000000000005E-2</v>
      </c>
    </row>
    <row r="35" spans="1:15" x14ac:dyDescent="0.25">
      <c r="B35" s="4" t="s">
        <v>94</v>
      </c>
      <c r="E35" s="28">
        <f ca="1">E34*E8</f>
        <v>982464.21899999992</v>
      </c>
      <c r="F35" s="28">
        <f t="shared" ref="F35:J35" ca="1" si="17">F34*F8</f>
        <v>968696.44339050003</v>
      </c>
      <c r="G35" s="28">
        <f t="shared" ca="1" si="17"/>
        <v>960440.83638787363</v>
      </c>
      <c r="H35" s="28">
        <f t="shared" ca="1" si="17"/>
        <v>943042.68681068346</v>
      </c>
      <c r="I35" s="28">
        <f t="shared" ca="1" si="17"/>
        <v>914940.01474372507</v>
      </c>
      <c r="J35" s="28">
        <f t="shared" ca="1" si="17"/>
        <v>874365.22592662077</v>
      </c>
    </row>
    <row r="36" spans="1:15" x14ac:dyDescent="0.25">
      <c r="B36" s="17" t="s">
        <v>229</v>
      </c>
      <c r="E36" s="141">
        <f ca="1">+Assumptions!F38</f>
        <v>0.315</v>
      </c>
      <c r="F36" s="141">
        <f ca="1">+Assumptions!G38</f>
        <v>0.35</v>
      </c>
      <c r="G36" s="141">
        <f ca="1">+Assumptions!H38</f>
        <v>0.3725</v>
      </c>
      <c r="H36" s="141">
        <f ca="1">+Assumptions!I38</f>
        <v>0.39500000000000002</v>
      </c>
      <c r="I36" s="141">
        <f ca="1">+Assumptions!J38</f>
        <v>0.41750000000000004</v>
      </c>
      <c r="J36" s="141">
        <f ca="1">+Assumptions!K38</f>
        <v>0.44000000000000006</v>
      </c>
    </row>
    <row r="37" spans="1:15" x14ac:dyDescent="0.25">
      <c r="B37" s="4" t="s">
        <v>247</v>
      </c>
      <c r="E37" s="28">
        <f ca="1">E36*E35</f>
        <v>309476.22898499999</v>
      </c>
      <c r="F37" s="28">
        <f t="shared" ref="F37:J37" ca="1" si="18">F36*F35</f>
        <v>339043.755186675</v>
      </c>
      <c r="G37" s="28">
        <f t="shared" ca="1" si="18"/>
        <v>357764.21155448293</v>
      </c>
      <c r="H37" s="28">
        <f t="shared" ca="1" si="18"/>
        <v>372501.86129022</v>
      </c>
      <c r="I37" s="28">
        <f t="shared" ca="1" si="18"/>
        <v>381987.45615550526</v>
      </c>
      <c r="J37" s="28">
        <f t="shared" ca="1" si="18"/>
        <v>384720.6994077132</v>
      </c>
    </row>
    <row r="38" spans="1:15" x14ac:dyDescent="0.25">
      <c r="B38" s="17"/>
      <c r="E38" s="26"/>
      <c r="F38" s="26"/>
      <c r="G38" s="26"/>
      <c r="H38" s="26"/>
      <c r="I38" s="26"/>
      <c r="J38" s="26"/>
    </row>
    <row r="39" spans="1:15" x14ac:dyDescent="0.25">
      <c r="A39" s="112" t="s">
        <v>255</v>
      </c>
      <c r="B39" s="17" t="s">
        <v>248</v>
      </c>
      <c r="E39" s="141">
        <f ca="1">Assumptions!F20</f>
        <v>0.74099999999999999</v>
      </c>
      <c r="F39" s="141">
        <f ca="1">Assumptions!G20</f>
        <v>0.73599999999999999</v>
      </c>
      <c r="G39" s="141">
        <f ca="1">Assumptions!H20</f>
        <v>0.73099999999999998</v>
      </c>
      <c r="H39" s="141">
        <f ca="1">Assumptions!I20</f>
        <v>0.72599999999999998</v>
      </c>
      <c r="I39" s="141">
        <f ca="1">Assumptions!J20</f>
        <v>0.72099999999999997</v>
      </c>
      <c r="J39" s="141">
        <f ca="1">Assumptions!K20</f>
        <v>0.72099999999999997</v>
      </c>
    </row>
    <row r="40" spans="1:15" x14ac:dyDescent="0.25">
      <c r="B40" s="114" t="s">
        <v>106</v>
      </c>
      <c r="E40" s="27">
        <f t="shared" ref="E40:J40" ca="1" si="19">E39*E8</f>
        <v>19675837.467</v>
      </c>
      <c r="F40" s="27">
        <f t="shared" ca="1" si="19"/>
        <v>21282405.442848001</v>
      </c>
      <c r="G40" s="27">
        <f t="shared" ca="1" si="19"/>
        <v>23019090.209820837</v>
      </c>
      <c r="H40" s="27">
        <f t="shared" ca="1" si="19"/>
        <v>24896326.931802042</v>
      </c>
      <c r="I40" s="27">
        <f t="shared" ca="1" si="19"/>
        <v>26925377.576743905</v>
      </c>
      <c r="J40" s="27">
        <f t="shared" ca="1" si="19"/>
        <v>29321736.181074109</v>
      </c>
    </row>
    <row r="41" spans="1:15" x14ac:dyDescent="0.25">
      <c r="B41" s="17" t="s">
        <v>249</v>
      </c>
      <c r="E41" s="141">
        <f ca="1">Assumptions!F26</f>
        <v>0.23</v>
      </c>
      <c r="F41" s="141">
        <f ca="1">Assumptions!G26</f>
        <v>0.2238</v>
      </c>
      <c r="G41" s="141">
        <f ca="1">Assumptions!H26</f>
        <v>0.2208</v>
      </c>
      <c r="H41" s="141">
        <f ca="1">Assumptions!I26</f>
        <v>0.21779999999999999</v>
      </c>
      <c r="I41" s="141">
        <f ca="1">Assumptions!J26</f>
        <v>0.21479999999999999</v>
      </c>
      <c r="J41" s="141">
        <f ca="1">Assumptions!K26</f>
        <v>0.21179999999999999</v>
      </c>
    </row>
    <row r="42" spans="1:15" x14ac:dyDescent="0.25">
      <c r="B42" s="114" t="s">
        <v>240</v>
      </c>
      <c r="E42" s="27">
        <f t="shared" ref="E42:J42" ca="1" si="20">E41*E8</f>
        <v>6107210.0100000007</v>
      </c>
      <c r="F42" s="27">
        <f t="shared" ca="1" si="20"/>
        <v>6471470.5680833999</v>
      </c>
      <c r="G42" s="27">
        <f t="shared" ca="1" si="20"/>
        <v>6952961.8581784414</v>
      </c>
      <c r="H42" s="27">
        <f t="shared" ca="1" si="20"/>
        <v>7468898.0795406122</v>
      </c>
      <c r="I42" s="27">
        <f t="shared" ca="1" si="20"/>
        <v>8021596.537426617</v>
      </c>
      <c r="J42" s="27">
        <f t="shared" ca="1" si="20"/>
        <v>8613514.1791282892</v>
      </c>
    </row>
    <row r="43" spans="1:15" x14ac:dyDescent="0.25">
      <c r="E43" s="26"/>
      <c r="F43" s="26"/>
      <c r="G43" s="26"/>
      <c r="H43" s="26"/>
      <c r="I43" s="26"/>
      <c r="J43" s="26"/>
    </row>
    <row r="44" spans="1:15" x14ac:dyDescent="0.25">
      <c r="B44" s="114" t="s">
        <v>100</v>
      </c>
    </row>
    <row r="45" spans="1:15" x14ac:dyDescent="0.25">
      <c r="A45" s="112" t="s">
        <v>255</v>
      </c>
      <c r="B45" s="17" t="s">
        <v>220</v>
      </c>
      <c r="E45" s="141">
        <f ca="1">Assumptions!F56</f>
        <v>8.0000000000000002E-3</v>
      </c>
      <c r="F45" s="141">
        <f ca="1">Assumptions!G56</f>
        <v>8.0000000000000002E-3</v>
      </c>
      <c r="G45" s="141">
        <f ca="1">Assumptions!H56</f>
        <v>8.0000000000000002E-3</v>
      </c>
      <c r="H45" s="141">
        <f ca="1">Assumptions!I56</f>
        <v>8.0000000000000002E-3</v>
      </c>
      <c r="I45" s="141">
        <f ca="1">Assumptions!J56</f>
        <v>8.0000000000000002E-3</v>
      </c>
      <c r="J45" s="141">
        <f ca="1">Assumptions!K56</f>
        <v>8.0000000000000002E-3</v>
      </c>
    </row>
    <row r="46" spans="1:15" x14ac:dyDescent="0.25">
      <c r="B46" s="114" t="s">
        <v>218</v>
      </c>
      <c r="E46" s="27">
        <f t="shared" ref="E46:J46" ca="1" si="21">E45*E8</f>
        <v>212424.696</v>
      </c>
      <c r="F46" s="27">
        <f t="shared" ca="1" si="21"/>
        <v>231330.49394400002</v>
      </c>
      <c r="G46" s="27">
        <f t="shared" ca="1" si="21"/>
        <v>251918.90790501601</v>
      </c>
      <c r="H46" s="27">
        <f t="shared" ca="1" si="21"/>
        <v>274339.69070856244</v>
      </c>
      <c r="I46" s="27">
        <f t="shared" ca="1" si="21"/>
        <v>298755.9231816245</v>
      </c>
      <c r="J46" s="27">
        <f t="shared" ca="1" si="21"/>
        <v>325345.20034478902</v>
      </c>
    </row>
    <row r="47" spans="1:15" x14ac:dyDescent="0.25">
      <c r="B47" s="17" t="s">
        <v>239</v>
      </c>
      <c r="D47" s="113"/>
      <c r="E47" s="141">
        <f ca="1">Assumptions!F62</f>
        <v>0.1</v>
      </c>
      <c r="F47" s="141">
        <f ca="1">Assumptions!G62</f>
        <v>9.7500000000000003E-2</v>
      </c>
      <c r="G47" s="141">
        <f ca="1">Assumptions!H62</f>
        <v>9.5000000000000001E-2</v>
      </c>
      <c r="H47" s="141">
        <f ca="1">Assumptions!I62</f>
        <v>9.2499999999999999E-2</v>
      </c>
      <c r="I47" s="141">
        <f ca="1">Assumptions!J62</f>
        <v>0.09</v>
      </c>
      <c r="J47" s="141">
        <f ca="1">Assumptions!K62</f>
        <v>8.7499999999999994E-2</v>
      </c>
    </row>
    <row r="48" spans="1:15" x14ac:dyDescent="0.25">
      <c r="B48" s="114" t="s">
        <v>219</v>
      </c>
      <c r="D48" s="113"/>
      <c r="E48" s="27">
        <f ca="1">E47*E40</f>
        <v>1967583.7467</v>
      </c>
      <c r="F48" s="27">
        <f t="shared" ref="F48:J48" ca="1" si="22">F47*F40</f>
        <v>2075034.5306776802</v>
      </c>
      <c r="G48" s="27">
        <f t="shared" ca="1" si="22"/>
        <v>2186813.5699329795</v>
      </c>
      <c r="H48" s="27">
        <f t="shared" ca="1" si="22"/>
        <v>2302910.2411916889</v>
      </c>
      <c r="I48" s="27">
        <f t="shared" ca="1" si="22"/>
        <v>2423283.9819069514</v>
      </c>
      <c r="J48" s="27">
        <f t="shared" ca="1" si="22"/>
        <v>2565651.9158439846</v>
      </c>
      <c r="N48" s="116"/>
      <c r="O48" s="117"/>
    </row>
    <row r="49" spans="1:10" x14ac:dyDescent="0.25">
      <c r="B49" s="17" t="s">
        <v>221</v>
      </c>
      <c r="D49" s="113"/>
      <c r="E49" s="141">
        <f ca="1">Assumptions!F68</f>
        <v>1.4999999999999999E-2</v>
      </c>
      <c r="F49" s="141">
        <f ca="1">Assumptions!G68</f>
        <v>1.4999999999999999E-2</v>
      </c>
      <c r="G49" s="141">
        <f ca="1">Assumptions!H68</f>
        <v>1.4999999999999999E-2</v>
      </c>
      <c r="H49" s="141">
        <f ca="1">Assumptions!I68</f>
        <v>1.4999999999999999E-2</v>
      </c>
      <c r="I49" s="141">
        <f ca="1">Assumptions!J68</f>
        <v>1.4999999999999999E-2</v>
      </c>
      <c r="J49" s="141">
        <f ca="1">Assumptions!K68</f>
        <v>1.4999999999999999E-2</v>
      </c>
    </row>
    <row r="50" spans="1:10" x14ac:dyDescent="0.25">
      <c r="B50" s="114" t="s">
        <v>238</v>
      </c>
      <c r="D50" s="113"/>
      <c r="E50" s="27">
        <f t="shared" ref="E50:J50" ca="1" si="23">E49*E8</f>
        <v>398296.30499999999</v>
      </c>
      <c r="F50" s="27">
        <f t="shared" ca="1" si="23"/>
        <v>433744.67614499998</v>
      </c>
      <c r="G50" s="27">
        <f t="shared" ca="1" si="23"/>
        <v>472347.952321905</v>
      </c>
      <c r="H50" s="27">
        <f t="shared" ca="1" si="23"/>
        <v>514386.92007855454</v>
      </c>
      <c r="I50" s="27">
        <f t="shared" ca="1" si="23"/>
        <v>560167.35596554587</v>
      </c>
      <c r="J50" s="27">
        <f t="shared" ca="1" si="23"/>
        <v>610022.25064647943</v>
      </c>
    </row>
    <row r="51" spans="1:10" x14ac:dyDescent="0.25">
      <c r="B51" s="114" t="s">
        <v>222</v>
      </c>
      <c r="C51" s="122"/>
      <c r="D51" s="81"/>
      <c r="E51" s="81">
        <f ca="1">SUM(E46+E48+E50)</f>
        <v>2578304.7477000002</v>
      </c>
      <c r="F51" s="81">
        <f t="shared" ref="F51:J51" ca="1" si="24">SUM(F46+F48+F50)</f>
        <v>2740109.7007666803</v>
      </c>
      <c r="G51" s="81">
        <f t="shared" ca="1" si="24"/>
        <v>2911080.4301599008</v>
      </c>
      <c r="H51" s="81">
        <f t="shared" ca="1" si="24"/>
        <v>3091636.8519788058</v>
      </c>
      <c r="I51" s="81">
        <f t="shared" ca="1" si="24"/>
        <v>3282207.2610541219</v>
      </c>
      <c r="J51" s="81">
        <f t="shared" ca="1" si="24"/>
        <v>3501019.3668352528</v>
      </c>
    </row>
    <row r="52" spans="1:10" x14ac:dyDescent="0.25">
      <c r="D52" s="113"/>
      <c r="E52" s="113"/>
      <c r="F52" s="113"/>
    </row>
    <row r="53" spans="1:10" x14ac:dyDescent="0.25">
      <c r="A53" s="112" t="s">
        <v>255</v>
      </c>
      <c r="B53" s="17" t="s">
        <v>241</v>
      </c>
      <c r="E53" s="141">
        <f ca="1">Assumptions!F74</f>
        <v>0.25</v>
      </c>
      <c r="F53" s="141">
        <f ca="1">Assumptions!G74</f>
        <v>0.25</v>
      </c>
      <c r="G53" s="141">
        <f ca="1">Assumptions!H74</f>
        <v>0.25</v>
      </c>
      <c r="H53" s="141">
        <f ca="1">Assumptions!I74</f>
        <v>0.25</v>
      </c>
      <c r="I53" s="141">
        <f ca="1">Assumptions!J74</f>
        <v>0.25</v>
      </c>
      <c r="J53" s="141">
        <f ca="1">Assumptions!K74</f>
        <v>0.25</v>
      </c>
    </row>
    <row r="54" spans="1:10" x14ac:dyDescent="0.25">
      <c r="B54" s="114" t="s">
        <v>223</v>
      </c>
      <c r="E54" s="27">
        <f ca="1">E53*E40</f>
        <v>4918959.36675</v>
      </c>
      <c r="F54" s="27">
        <f t="shared" ref="F54:J54" ca="1" si="25">F53*F40</f>
        <v>5320601.3607120002</v>
      </c>
      <c r="G54" s="27">
        <f t="shared" ca="1" si="25"/>
        <v>5754772.5524552092</v>
      </c>
      <c r="H54" s="27">
        <f t="shared" ca="1" si="25"/>
        <v>6224081.7329505105</v>
      </c>
      <c r="I54" s="27">
        <f t="shared" ca="1" si="25"/>
        <v>6731344.3941859761</v>
      </c>
      <c r="J54" s="27">
        <f t="shared" ca="1" si="25"/>
        <v>7330434.0452685272</v>
      </c>
    </row>
    <row r="55" spans="1:10" x14ac:dyDescent="0.25">
      <c r="B55" s="17" t="s">
        <v>225</v>
      </c>
      <c r="E55" s="141">
        <f ca="1">Assumptions!F80</f>
        <v>1.7000000000000001E-2</v>
      </c>
      <c r="F55" s="141">
        <f ca="1">Assumptions!G80</f>
        <v>1.7000000000000001E-2</v>
      </c>
      <c r="G55" s="141">
        <f ca="1">Assumptions!H80</f>
        <v>1.7000000000000001E-2</v>
      </c>
      <c r="H55" s="141">
        <f ca="1">Assumptions!I80</f>
        <v>1.7000000000000001E-2</v>
      </c>
      <c r="I55" s="141">
        <f ca="1">Assumptions!J80</f>
        <v>1.7000000000000001E-2</v>
      </c>
      <c r="J55" s="141">
        <f ca="1">Assumptions!K80</f>
        <v>1.7000000000000001E-2</v>
      </c>
    </row>
    <row r="56" spans="1:10" x14ac:dyDescent="0.25">
      <c r="B56" s="114" t="s">
        <v>224</v>
      </c>
      <c r="E56" s="27">
        <f t="shared" ref="E56:J56" ca="1" si="26">E55*E8</f>
        <v>451402.47900000005</v>
      </c>
      <c r="F56" s="27">
        <f t="shared" ca="1" si="26"/>
        <v>491577.29963100003</v>
      </c>
      <c r="G56" s="27">
        <f t="shared" ca="1" si="26"/>
        <v>535327.67929815908</v>
      </c>
      <c r="H56" s="27">
        <f t="shared" ca="1" si="26"/>
        <v>582971.84275569522</v>
      </c>
      <c r="I56" s="27">
        <f t="shared" ca="1" si="26"/>
        <v>634856.33676095202</v>
      </c>
      <c r="J56" s="27">
        <f t="shared" ca="1" si="26"/>
        <v>691358.55073267675</v>
      </c>
    </row>
    <row r="57" spans="1:10" x14ac:dyDescent="0.25">
      <c r="B57" s="17" t="s">
        <v>227</v>
      </c>
      <c r="E57" s="141">
        <f ca="1">Assumptions!F86</f>
        <v>5.0000000000000001E-3</v>
      </c>
      <c r="F57" s="141">
        <f ca="1">Assumptions!G86</f>
        <v>5.0000000000000001E-3</v>
      </c>
      <c r="G57" s="141">
        <f ca="1">Assumptions!H86</f>
        <v>5.0000000000000001E-3</v>
      </c>
      <c r="H57" s="141">
        <f ca="1">Assumptions!I86</f>
        <v>5.0000000000000001E-3</v>
      </c>
      <c r="I57" s="141">
        <f ca="1">Assumptions!J86</f>
        <v>5.0000000000000001E-3</v>
      </c>
      <c r="J57" s="141">
        <f ca="1">Assumptions!K86</f>
        <v>5.0000000000000001E-3</v>
      </c>
    </row>
    <row r="58" spans="1:10" x14ac:dyDescent="0.25">
      <c r="B58" s="114" t="s">
        <v>226</v>
      </c>
      <c r="E58" s="27">
        <f t="shared" ref="E58:J58" ca="1" si="27">E57*E8</f>
        <v>132765.435</v>
      </c>
      <c r="F58" s="27">
        <f t="shared" ca="1" si="27"/>
        <v>144581.55871500002</v>
      </c>
      <c r="G58" s="27">
        <f t="shared" ca="1" si="27"/>
        <v>157449.317440635</v>
      </c>
      <c r="H58" s="27">
        <f t="shared" ca="1" si="27"/>
        <v>171462.30669285153</v>
      </c>
      <c r="I58" s="27">
        <f t="shared" ca="1" si="27"/>
        <v>186722.4519885153</v>
      </c>
      <c r="J58" s="27">
        <f t="shared" ca="1" si="27"/>
        <v>203340.75021549314</v>
      </c>
    </row>
    <row r="59" spans="1:10" x14ac:dyDescent="0.25">
      <c r="B59" s="88" t="s">
        <v>237</v>
      </c>
      <c r="E59" s="141">
        <f ca="1">Assumptions!F92</f>
        <v>8.0000000000000002E-3</v>
      </c>
      <c r="F59" s="141">
        <f ca="1">Assumptions!G92</f>
        <v>8.0000000000000002E-3</v>
      </c>
      <c r="G59" s="141">
        <f ca="1">Assumptions!H92</f>
        <v>8.0000000000000002E-3</v>
      </c>
      <c r="H59" s="141">
        <f ca="1">Assumptions!I92</f>
        <v>8.0000000000000002E-3</v>
      </c>
      <c r="I59" s="141">
        <f ca="1">Assumptions!J92</f>
        <v>8.0000000000000002E-3</v>
      </c>
      <c r="J59" s="141">
        <f ca="1">Assumptions!K92</f>
        <v>8.0000000000000002E-3</v>
      </c>
    </row>
    <row r="60" spans="1:10" x14ac:dyDescent="0.25">
      <c r="B60" s="92" t="s">
        <v>236</v>
      </c>
      <c r="E60" s="27">
        <f t="shared" ref="E60:J60" ca="1" si="28">-E59*E8</f>
        <v>-212424.696</v>
      </c>
      <c r="F60" s="27">
        <f t="shared" ca="1" si="28"/>
        <v>-231330.49394400002</v>
      </c>
      <c r="G60" s="27">
        <f t="shared" ca="1" si="28"/>
        <v>-251918.90790501601</v>
      </c>
      <c r="H60" s="27">
        <f t="shared" ca="1" si="28"/>
        <v>-274339.69070856244</v>
      </c>
      <c r="I60" s="27">
        <f t="shared" ca="1" si="28"/>
        <v>-298755.9231816245</v>
      </c>
      <c r="J60" s="27">
        <f t="shared" ca="1" si="28"/>
        <v>-325345.20034478902</v>
      </c>
    </row>
    <row r="61" spans="1:10" x14ac:dyDescent="0.25">
      <c r="B61" s="88" t="s">
        <v>235</v>
      </c>
      <c r="E61" s="141">
        <f ca="1">Assumptions!F98</f>
        <v>6.0000000000000001E-3</v>
      </c>
      <c r="F61" s="141">
        <f ca="1">Assumptions!G98</f>
        <v>6.0000000000000001E-3</v>
      </c>
      <c r="G61" s="141">
        <f ca="1">Assumptions!H98</f>
        <v>6.0000000000000001E-3</v>
      </c>
      <c r="H61" s="141">
        <f ca="1">Assumptions!I98</f>
        <v>6.0000000000000001E-3</v>
      </c>
      <c r="I61" s="141">
        <f ca="1">Assumptions!J98</f>
        <v>6.0000000000000001E-3</v>
      </c>
      <c r="J61" s="141">
        <f ca="1">Assumptions!K98</f>
        <v>6.0000000000000001E-3</v>
      </c>
    </row>
    <row r="62" spans="1:10" x14ac:dyDescent="0.25">
      <c r="B62" s="92" t="s">
        <v>234</v>
      </c>
      <c r="E62" s="27">
        <f t="shared" ref="E62:J62" ca="1" si="29">-E8*E61</f>
        <v>-159318.522</v>
      </c>
      <c r="F62" s="27">
        <f t="shared" ca="1" si="29"/>
        <v>-173497.87045800002</v>
      </c>
      <c r="G62" s="27">
        <f t="shared" ca="1" si="29"/>
        <v>-188939.18092876201</v>
      </c>
      <c r="H62" s="27">
        <f t="shared" ca="1" si="29"/>
        <v>-205754.76803142182</v>
      </c>
      <c r="I62" s="27">
        <f t="shared" ca="1" si="29"/>
        <v>-224066.94238621835</v>
      </c>
      <c r="J62" s="27">
        <f t="shared" ca="1" si="29"/>
        <v>-244008.90025859178</v>
      </c>
    </row>
    <row r="63" spans="1:10" x14ac:dyDescent="0.25">
      <c r="B63" s="88" t="s">
        <v>233</v>
      </c>
      <c r="E63" s="141">
        <f ca="1">Assumptions!F104</f>
        <v>1.6E-2</v>
      </c>
      <c r="F63" s="141">
        <f ca="1">Assumptions!G104</f>
        <v>1.6E-2</v>
      </c>
      <c r="G63" s="141">
        <f ca="1">Assumptions!H104</f>
        <v>1.6E-2</v>
      </c>
      <c r="H63" s="141">
        <f ca="1">Assumptions!I104</f>
        <v>1.6E-2</v>
      </c>
      <c r="I63" s="141">
        <f ca="1">Assumptions!J104</f>
        <v>1.6E-2</v>
      </c>
      <c r="J63" s="141">
        <f ca="1">Assumptions!K104</f>
        <v>1.6E-2</v>
      </c>
    </row>
    <row r="64" spans="1:10" x14ac:dyDescent="0.25">
      <c r="B64" s="92" t="s">
        <v>232</v>
      </c>
      <c r="E64" s="27">
        <f t="shared" ref="E64:J64" ca="1" si="30">-E63*E8</f>
        <v>-424849.39199999999</v>
      </c>
      <c r="F64" s="27">
        <f t="shared" ca="1" si="30"/>
        <v>-462660.98788800003</v>
      </c>
      <c r="G64" s="27">
        <f t="shared" ca="1" si="30"/>
        <v>-503837.81581003201</v>
      </c>
      <c r="H64" s="27">
        <f t="shared" ca="1" si="30"/>
        <v>-548679.38141712488</v>
      </c>
      <c r="I64" s="27">
        <f t="shared" ca="1" si="30"/>
        <v>-597511.846363249</v>
      </c>
      <c r="J64" s="27">
        <f t="shared" ca="1" si="30"/>
        <v>-650690.40068957803</v>
      </c>
    </row>
    <row r="65" spans="1:10" x14ac:dyDescent="0.25">
      <c r="B65" s="17" t="s">
        <v>230</v>
      </c>
      <c r="E65" s="141">
        <f ca="1">Assumptions!F110</f>
        <v>0.02</v>
      </c>
      <c r="F65" s="141">
        <f ca="1">Assumptions!G110</f>
        <v>0.02</v>
      </c>
      <c r="G65" s="141">
        <f ca="1">Assumptions!H110</f>
        <v>0.02</v>
      </c>
      <c r="H65" s="141">
        <f ca="1">Assumptions!I110</f>
        <v>0.02</v>
      </c>
      <c r="I65" s="141">
        <f ca="1">Assumptions!J110</f>
        <v>0.02</v>
      </c>
      <c r="J65" s="141">
        <f ca="1">Assumptions!K110</f>
        <v>0.02</v>
      </c>
    </row>
    <row r="66" spans="1:10" x14ac:dyDescent="0.25">
      <c r="B66" s="114" t="s">
        <v>231</v>
      </c>
      <c r="E66" s="27">
        <f t="shared" ref="E66:J66" ca="1" si="31">E65*E8</f>
        <v>531061.74</v>
      </c>
      <c r="F66" s="27">
        <f t="shared" ca="1" si="31"/>
        <v>578326.23486000008</v>
      </c>
      <c r="G66" s="27">
        <f t="shared" ca="1" si="31"/>
        <v>629797.26976254</v>
      </c>
      <c r="H66" s="27">
        <f t="shared" ca="1" si="31"/>
        <v>685849.22677140613</v>
      </c>
      <c r="I66" s="27">
        <f t="shared" ca="1" si="31"/>
        <v>746889.80795406119</v>
      </c>
      <c r="J66" s="27">
        <f t="shared" ca="1" si="31"/>
        <v>813363.00086197257</v>
      </c>
    </row>
    <row r="67" spans="1:10" x14ac:dyDescent="0.25">
      <c r="B67" s="114" t="s">
        <v>242</v>
      </c>
      <c r="C67" s="122"/>
      <c r="D67" s="122"/>
      <c r="E67" s="81">
        <f ca="1">SUM(E54,E56,E58,E60,E62,E64,E66)</f>
        <v>5237596.4107500007</v>
      </c>
      <c r="F67" s="81">
        <f ca="1">SUM(F54,F56,F58,F60,F62,F64,F66)</f>
        <v>5667597.1016279999</v>
      </c>
      <c r="G67" s="81">
        <f ca="1">SUM(G54,G56,G58,G60,G62,G64,G66)</f>
        <v>6132650.9143127324</v>
      </c>
      <c r="H67" s="81">
        <f ca="1">SUM(H54,H56,H58,H60,H62,H64,H66)</f>
        <v>6635591.2690133536</v>
      </c>
      <c r="I67" s="81">
        <f t="shared" ref="I67:J67" ca="1" si="32">SUM(I54,I56,I58,I60,I62,I64,I66)</f>
        <v>7179478.2789584128</v>
      </c>
      <c r="J67" s="81">
        <f t="shared" ca="1" si="32"/>
        <v>7818451.8457857119</v>
      </c>
    </row>
    <row r="68" spans="1:10" x14ac:dyDescent="0.25">
      <c r="B68" s="4"/>
      <c r="E68" s="113"/>
      <c r="F68" s="113"/>
      <c r="G68" s="113"/>
      <c r="H68" s="113"/>
      <c r="I68" s="113"/>
      <c r="J68" s="113"/>
    </row>
    <row r="69" spans="1:10" x14ac:dyDescent="0.25">
      <c r="D69" s="120" t="s">
        <v>244</v>
      </c>
    </row>
    <row r="70" spans="1:10" x14ac:dyDescent="0.25">
      <c r="A70" s="112" t="s">
        <v>255</v>
      </c>
      <c r="B70" s="114" t="s">
        <v>243</v>
      </c>
      <c r="D70" s="142">
        <v>-2907000</v>
      </c>
      <c r="E70" s="27">
        <f ca="1">E51-E67</f>
        <v>-2659291.6630500006</v>
      </c>
      <c r="F70" s="27">
        <f t="shared" ref="F70:J70" ca="1" si="33">F51-F67</f>
        <v>-2927487.4008613196</v>
      </c>
      <c r="G70" s="27">
        <f t="shared" ca="1" si="33"/>
        <v>-3221570.4841528316</v>
      </c>
      <c r="H70" s="27">
        <f t="shared" ca="1" si="33"/>
        <v>-3543954.4170345478</v>
      </c>
      <c r="I70" s="27">
        <f t="shared" ca="1" si="33"/>
        <v>-3897271.0179042909</v>
      </c>
      <c r="J70" s="27">
        <f t="shared" ca="1" si="33"/>
        <v>-4317432.4789504595</v>
      </c>
    </row>
    <row r="71" spans="1:10" x14ac:dyDescent="0.25">
      <c r="B71" s="4" t="s">
        <v>101</v>
      </c>
      <c r="E71" s="28">
        <f ca="1">E70-D70</f>
        <v>247708.33694999944</v>
      </c>
      <c r="F71" s="28">
        <f ca="1">F70-E70</f>
        <v>-268195.73781131906</v>
      </c>
      <c r="G71" s="28">
        <f t="shared" ref="G71:J71" ca="1" si="34">G70-F70</f>
        <v>-294083.08329151198</v>
      </c>
      <c r="H71" s="28">
        <f t="shared" ca="1" si="34"/>
        <v>-322383.93288171617</v>
      </c>
      <c r="I71" s="28">
        <f t="shared" ca="1" si="34"/>
        <v>-353316.60086974315</v>
      </c>
      <c r="J71" s="28">
        <f t="shared" ca="1" si="34"/>
        <v>-420161.46104616858</v>
      </c>
    </row>
    <row r="73" spans="1:10" x14ac:dyDescent="0.25">
      <c r="A73" s="112" t="s">
        <v>255</v>
      </c>
      <c r="B73" s="88" t="s">
        <v>246</v>
      </c>
      <c r="E73" s="141">
        <f ca="1">Assumptions!F116</f>
        <v>6.5000000000000002E-2</v>
      </c>
      <c r="F73" s="141">
        <f ca="1">Assumptions!G116</f>
        <v>6.5000000000000002E-2</v>
      </c>
      <c r="G73" s="141">
        <f ca="1">Assumptions!H116</f>
        <v>6.5000000000000002E-2</v>
      </c>
      <c r="H73" s="141">
        <f ca="1">Assumptions!I116</f>
        <v>6.5000000000000002E-2</v>
      </c>
      <c r="I73" s="141">
        <f ca="1">Assumptions!J116</f>
        <v>6.5000000000000002E-2</v>
      </c>
      <c r="J73" s="141">
        <f ca="1">Assumptions!K116</f>
        <v>6.5000000000000002E-2</v>
      </c>
    </row>
    <row r="74" spans="1:10" x14ac:dyDescent="0.25">
      <c r="B74" s="4" t="s">
        <v>245</v>
      </c>
      <c r="E74" s="28">
        <f ca="1">E73*E42</f>
        <v>396968.65065000008</v>
      </c>
      <c r="F74" s="28">
        <f t="shared" ref="F74:J74" ca="1" si="35">F73*F42</f>
        <v>420645.58692542103</v>
      </c>
      <c r="G74" s="28">
        <f t="shared" ca="1" si="35"/>
        <v>451942.52078159869</v>
      </c>
      <c r="H74" s="28">
        <f t="shared" ca="1" si="35"/>
        <v>485478.37517013983</v>
      </c>
      <c r="I74" s="28">
        <f t="shared" ca="1" si="35"/>
        <v>521403.77493273013</v>
      </c>
      <c r="J74" s="28">
        <f t="shared" ca="1" si="35"/>
        <v>559878.42164333886</v>
      </c>
    </row>
  </sheetData>
  <mergeCells count="3">
    <mergeCell ref="N7:O7"/>
    <mergeCell ref="Q7:R7"/>
    <mergeCell ref="B33:J33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357F-2B79-40C1-A9BB-0E4564FDC837}">
  <dimension ref="A2:D17"/>
  <sheetViews>
    <sheetView showGridLines="0" topLeftCell="A2" workbookViewId="0">
      <selection activeCell="B2" sqref="B2:C2"/>
    </sheetView>
  </sheetViews>
  <sheetFormatPr defaultRowHeight="15" x14ac:dyDescent="0.25"/>
  <cols>
    <col min="1" max="1" width="3.7109375" customWidth="1"/>
    <col min="2" max="2" width="25.5703125" bestFit="1" customWidth="1"/>
    <col min="3" max="3" width="12.85546875" bestFit="1" customWidth="1"/>
  </cols>
  <sheetData>
    <row r="2" spans="1:4" x14ac:dyDescent="0.25">
      <c r="A2" t="s">
        <v>255</v>
      </c>
      <c r="B2" s="133" t="s">
        <v>154</v>
      </c>
      <c r="C2" s="134"/>
    </row>
    <row r="3" spans="1:4" x14ac:dyDescent="0.25">
      <c r="B3" s="48"/>
      <c r="C3" s="49"/>
    </row>
    <row r="4" spans="1:4" x14ac:dyDescent="0.25">
      <c r="B4" s="41" t="s">
        <v>155</v>
      </c>
      <c r="C4" s="42">
        <v>0.05</v>
      </c>
    </row>
    <row r="5" spans="1:4" x14ac:dyDescent="0.25">
      <c r="B5" s="41" t="s">
        <v>156</v>
      </c>
      <c r="C5" s="96">
        <v>1.075</v>
      </c>
      <c r="D5" s="1" t="s">
        <v>167</v>
      </c>
    </row>
    <row r="6" spans="1:4" x14ac:dyDescent="0.25">
      <c r="B6" s="41" t="s">
        <v>157</v>
      </c>
      <c r="C6" s="46">
        <v>4.351E-2</v>
      </c>
      <c r="D6" s="1" t="s">
        <v>168</v>
      </c>
    </row>
    <row r="7" spans="1:4" x14ac:dyDescent="0.25">
      <c r="B7" s="38" t="s">
        <v>158</v>
      </c>
      <c r="C7" s="43">
        <f>C6+C5*C4</f>
        <v>9.7259999999999999E-2</v>
      </c>
      <c r="D7" s="1"/>
    </row>
    <row r="8" spans="1:4" x14ac:dyDescent="0.25">
      <c r="B8" s="40"/>
      <c r="C8" s="37"/>
      <c r="D8" s="1"/>
    </row>
    <row r="9" spans="1:4" x14ac:dyDescent="0.25">
      <c r="B9" s="41" t="s">
        <v>159</v>
      </c>
      <c r="C9" s="42">
        <v>3.44E-2</v>
      </c>
      <c r="D9" s="1" t="s">
        <v>169</v>
      </c>
    </row>
    <row r="10" spans="1:4" x14ac:dyDescent="0.25">
      <c r="B10" s="41" t="s">
        <v>160</v>
      </c>
      <c r="C10" s="47">
        <v>0.21360000000000001</v>
      </c>
    </row>
    <row r="11" spans="1:4" x14ac:dyDescent="0.25">
      <c r="B11" s="38" t="s">
        <v>161</v>
      </c>
      <c r="C11" s="43">
        <f>C9*(1-C10)</f>
        <v>2.7052159999999999E-2</v>
      </c>
    </row>
    <row r="12" spans="1:4" x14ac:dyDescent="0.25">
      <c r="B12" s="40"/>
      <c r="C12" s="37"/>
    </row>
    <row r="13" spans="1:4" x14ac:dyDescent="0.25">
      <c r="B13" s="41" t="s">
        <v>162</v>
      </c>
      <c r="C13" s="36">
        <v>28996300</v>
      </c>
    </row>
    <row r="14" spans="1:4" x14ac:dyDescent="0.25">
      <c r="B14" s="41" t="s">
        <v>163</v>
      </c>
      <c r="C14" s="35">
        <v>2787000</v>
      </c>
    </row>
    <row r="15" spans="1:4" x14ac:dyDescent="0.25">
      <c r="B15" s="41" t="s">
        <v>164</v>
      </c>
      <c r="C15" s="44">
        <f>C13/(C13+C14)</f>
        <v>0.91231244081011098</v>
      </c>
    </row>
    <row r="16" spans="1:4" x14ac:dyDescent="0.25">
      <c r="B16" s="41" t="s">
        <v>165</v>
      </c>
      <c r="C16" s="47">
        <f>C14/(C14+C13)</f>
        <v>8.7687559189889033E-2</v>
      </c>
    </row>
    <row r="17" spans="1:3" x14ac:dyDescent="0.25">
      <c r="A17" t="s">
        <v>255</v>
      </c>
      <c r="B17" s="39" t="s">
        <v>166</v>
      </c>
      <c r="C17" s="45">
        <f>C16*C11+C15*C7</f>
        <v>9.1103645874405739E-2</v>
      </c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4A4D-064F-BC45-9F1D-B9F904EDCF56}">
  <dimension ref="A2:K49"/>
  <sheetViews>
    <sheetView showGridLines="0" workbookViewId="0">
      <pane ySplit="6" topLeftCell="A7" activePane="bottomLeft" state="frozen"/>
      <selection pane="bottomLeft" activeCell="B7" sqref="B7"/>
    </sheetView>
  </sheetViews>
  <sheetFormatPr defaultColWidth="11.42578125" defaultRowHeight="15" x14ac:dyDescent="0.25"/>
  <cols>
    <col min="1" max="1" width="3.7109375" customWidth="1"/>
    <col min="2" max="2" width="52.28515625" bestFit="1" customWidth="1"/>
    <col min="3" max="3" width="11.140625" bestFit="1" customWidth="1"/>
  </cols>
  <sheetData>
    <row r="2" spans="1:11" x14ac:dyDescent="0.25">
      <c r="B2" s="1" t="s">
        <v>82</v>
      </c>
    </row>
    <row r="3" spans="1:11" x14ac:dyDescent="0.25">
      <c r="B3" s="1" t="s">
        <v>83</v>
      </c>
    </row>
    <row r="6" spans="1:11" x14ac:dyDescent="0.25">
      <c r="C6" s="97">
        <v>2021</v>
      </c>
      <c r="D6" s="97">
        <f>C6+1</f>
        <v>2022</v>
      </c>
      <c r="E6" s="97">
        <f t="shared" ref="E6:K6" si="0">D6+1</f>
        <v>2023</v>
      </c>
      <c r="F6" s="98">
        <f t="shared" si="0"/>
        <v>2024</v>
      </c>
      <c r="G6" s="98">
        <f t="shared" si="0"/>
        <v>2025</v>
      </c>
      <c r="H6" s="98">
        <f t="shared" si="0"/>
        <v>2026</v>
      </c>
      <c r="I6" s="98">
        <f t="shared" si="0"/>
        <v>2027</v>
      </c>
      <c r="J6" s="98">
        <f t="shared" si="0"/>
        <v>2028</v>
      </c>
      <c r="K6" s="98">
        <f t="shared" si="0"/>
        <v>2029</v>
      </c>
    </row>
    <row r="7" spans="1:11" x14ac:dyDescent="0.25">
      <c r="A7" t="s">
        <v>255</v>
      </c>
      <c r="B7" s="1" t="s">
        <v>88</v>
      </c>
      <c r="C7" s="86">
        <f>Historicals!C3</f>
        <v>16487975</v>
      </c>
      <c r="D7" s="86">
        <f>Historicals!D3</f>
        <v>18338177</v>
      </c>
      <c r="E7" s="86">
        <f>Historicals!E3</f>
        <v>21223000</v>
      </c>
      <c r="F7" s="87">
        <f ca="1">Assumptions!F7</f>
        <v>24567744.800000001</v>
      </c>
      <c r="G7" s="87">
        <f ca="1">Assumptions!G7</f>
        <v>27518330.950480003</v>
      </c>
      <c r="H7" s="87">
        <f ca="1">Assumptions!H7</f>
        <v>30820530.664537605</v>
      </c>
      <c r="I7" s="87">
        <f ca="1">Assumptions!I7</f>
        <v>34426532.752288505</v>
      </c>
      <c r="J7" s="87">
        <f ca="1">Assumptions!J7</f>
        <v>38351157.486049391</v>
      </c>
      <c r="K7" s="87">
        <f ca="1">Assumptions!K7</f>
        <v>42608135.967000872</v>
      </c>
    </row>
    <row r="8" spans="1:11" x14ac:dyDescent="0.25">
      <c r="B8" s="1" t="s">
        <v>89</v>
      </c>
      <c r="C8" s="86">
        <f>Historicals!C4</f>
        <v>1918397</v>
      </c>
      <c r="D8" s="86">
        <f>Historicals!D4</f>
        <v>2244438</v>
      </c>
      <c r="E8" s="86">
        <f>Historicals!E4</f>
        <v>3160000</v>
      </c>
      <c r="F8" s="87">
        <f ca="1">Assumptions!F13</f>
        <v>4297600</v>
      </c>
      <c r="G8" s="87">
        <f ca="1">Assumptions!G13</f>
        <v>5290345.6000000006</v>
      </c>
      <c r="H8" s="87">
        <f ca="1">Assumptions!H13</f>
        <v>6485963.7056000009</v>
      </c>
      <c r="I8" s="87">
        <f ca="1">Assumptions!I13</f>
        <v>7951791.503065601</v>
      </c>
      <c r="J8" s="87">
        <f ca="1">Assumptions!J13</f>
        <v>9748896.3827584274</v>
      </c>
      <c r="K8" s="87">
        <f ca="1">Assumptions!K13</f>
        <v>11952146.965261832</v>
      </c>
    </row>
    <row r="9" spans="1:11" x14ac:dyDescent="0.25">
      <c r="B9" s="4" t="s">
        <v>90</v>
      </c>
      <c r="C9" s="82">
        <f t="shared" ref="C9:D9" si="1">SUM(C7:C8)</f>
        <v>18406372</v>
      </c>
      <c r="D9" s="82">
        <f t="shared" si="1"/>
        <v>20582615</v>
      </c>
      <c r="E9" s="82">
        <f t="shared" ref="E9:K9" si="2">SUM(E7:E8)</f>
        <v>24383000</v>
      </c>
      <c r="F9" s="82">
        <f t="shared" ca="1" si="2"/>
        <v>28865344.800000001</v>
      </c>
      <c r="G9" s="82">
        <f t="shared" ca="1" si="2"/>
        <v>32808676.550480004</v>
      </c>
      <c r="H9" s="82">
        <f t="shared" ca="1" si="2"/>
        <v>37306494.370137602</v>
      </c>
      <c r="I9" s="82">
        <f t="shared" ca="1" si="2"/>
        <v>42378324.255354106</v>
      </c>
      <c r="J9" s="82">
        <f t="shared" ca="1" si="2"/>
        <v>48100053.868807822</v>
      </c>
      <c r="K9" s="82">
        <f t="shared" ca="1" si="2"/>
        <v>54560282.932262704</v>
      </c>
    </row>
    <row r="10" spans="1:11" x14ac:dyDescent="0.25">
      <c r="B10" s="88" t="s">
        <v>84</v>
      </c>
      <c r="C10" s="1"/>
      <c r="D10" s="89">
        <f>D9/C9-1</f>
        <v>0.118233131439482</v>
      </c>
      <c r="E10" s="89">
        <f t="shared" ref="E10:K10" si="3">E9/D9-1</f>
        <v>0.18464053279916093</v>
      </c>
      <c r="F10" s="89">
        <f t="shared" ca="1" si="3"/>
        <v>0.1838307345281549</v>
      </c>
      <c r="G10" s="89">
        <f t="shared" ca="1" si="3"/>
        <v>0.1366112817221572</v>
      </c>
      <c r="H10" s="89">
        <f t="shared" ca="1" si="3"/>
        <v>0.13709232716952724</v>
      </c>
      <c r="I10" s="89">
        <f t="shared" ca="1" si="3"/>
        <v>0.13595032100567206</v>
      </c>
      <c r="J10" s="89">
        <f t="shared" ca="1" si="3"/>
        <v>0.13501547581204387</v>
      </c>
      <c r="K10" s="89">
        <f t="shared" ca="1" si="3"/>
        <v>0.13430814612131337</v>
      </c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t="s">
        <v>255</v>
      </c>
      <c r="B12" s="1" t="s">
        <v>85</v>
      </c>
      <c r="C12" s="86">
        <f>-Historicals!C6</f>
        <v>-15455244</v>
      </c>
      <c r="D12" s="86">
        <f>-Historicals!D6</f>
        <v>-15872742</v>
      </c>
      <c r="E12" s="86">
        <f>-Historicals!E6</f>
        <v>-18193000</v>
      </c>
      <c r="F12" s="87">
        <f ca="1">Assumptions!F19</f>
        <v>-21389220.496800002</v>
      </c>
      <c r="G12" s="87">
        <f ca="1">Assumptions!G19</f>
        <v>-24147185.941153284</v>
      </c>
      <c r="H12" s="87">
        <f ca="1">Assumptions!H19</f>
        <v>-27271047.384570587</v>
      </c>
      <c r="I12" s="87">
        <f ca="1">Assumptions!I19</f>
        <v>-30766663.409387082</v>
      </c>
      <c r="J12" s="87">
        <f ca="1">Assumptions!J19</f>
        <v>-34680138.839410439</v>
      </c>
      <c r="K12" s="87">
        <f ca="1">Assumptions!K19</f>
        <v>-39337963.994161405</v>
      </c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t="s">
        <v>255</v>
      </c>
      <c r="B14" s="4" t="s">
        <v>86</v>
      </c>
      <c r="C14" s="82">
        <f t="shared" ref="C14:D14" si="4">C9+C12</f>
        <v>2951128</v>
      </c>
      <c r="D14" s="82">
        <f t="shared" si="4"/>
        <v>4709873</v>
      </c>
      <c r="E14" s="82">
        <f t="shared" ref="E14:K14" si="5">E9+E12</f>
        <v>6190000</v>
      </c>
      <c r="F14" s="82">
        <f t="shared" ca="1" si="5"/>
        <v>7476124.303199999</v>
      </c>
      <c r="G14" s="82">
        <f t="shared" ca="1" si="5"/>
        <v>8661490.6093267202</v>
      </c>
      <c r="H14" s="82">
        <f t="shared" ca="1" si="5"/>
        <v>10035446.985567015</v>
      </c>
      <c r="I14" s="82">
        <f t="shared" ca="1" si="5"/>
        <v>11611660.845967025</v>
      </c>
      <c r="J14" s="82">
        <f t="shared" ca="1" si="5"/>
        <v>13419915.029397383</v>
      </c>
      <c r="K14" s="82">
        <f t="shared" ca="1" si="5"/>
        <v>15222318.938101299</v>
      </c>
    </row>
    <row r="15" spans="1:11" x14ac:dyDescent="0.25">
      <c r="B15" s="88" t="s">
        <v>87</v>
      </c>
      <c r="C15" s="89">
        <f t="shared" ref="C15:D15" si="6">C14/C9</f>
        <v>0.16033186768147464</v>
      </c>
      <c r="D15" s="89">
        <f t="shared" si="6"/>
        <v>0.2288277267004217</v>
      </c>
      <c r="E15" s="89">
        <f t="shared" ref="E15:K15" si="7">E14/E9</f>
        <v>0.2538653980232129</v>
      </c>
      <c r="F15" s="89">
        <f ca="1">F14/F9</f>
        <v>0.25899999999999995</v>
      </c>
      <c r="G15" s="89">
        <f t="shared" ca="1" si="7"/>
        <v>0.26399999999999996</v>
      </c>
      <c r="H15" s="89">
        <f t="shared" ca="1" si="7"/>
        <v>0.26900000000000002</v>
      </c>
      <c r="I15" s="89">
        <f t="shared" ca="1" si="7"/>
        <v>0.27399999999999997</v>
      </c>
      <c r="J15" s="89">
        <f t="shared" ca="1" si="7"/>
        <v>0.27900000000000003</v>
      </c>
      <c r="K15" s="89">
        <f t="shared" ca="1" si="7"/>
        <v>0.27900000000000008</v>
      </c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t="s">
        <v>255</v>
      </c>
      <c r="B17" s="1" t="s">
        <v>144</v>
      </c>
      <c r="C17" s="86">
        <f>-Historicals!C7</f>
        <v>-4445090</v>
      </c>
      <c r="D17" s="86">
        <f>-Historicals!D7</f>
        <v>-4821892</v>
      </c>
      <c r="E17" s="86">
        <f>-Historicals!E7</f>
        <v>-5717000</v>
      </c>
      <c r="F17" s="87">
        <f ca="1">Assumptions!F25</f>
        <v>-6639029.3040000005</v>
      </c>
      <c r="G17" s="87">
        <f ca="1">Assumptions!G25</f>
        <v>-7342581.8119974248</v>
      </c>
      <c r="H17" s="87">
        <f ca="1">Assumptions!H25</f>
        <v>-8237273.9569263821</v>
      </c>
      <c r="I17" s="87">
        <f ca="1">Assumptions!I25</f>
        <v>-9229999.0228161234</v>
      </c>
      <c r="J17" s="87">
        <f ca="1">Assumptions!J25</f>
        <v>-10331891.57101992</v>
      </c>
      <c r="K17" s="87">
        <f ca="1">Assumptions!K25</f>
        <v>-11555867.925053241</v>
      </c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t="s">
        <v>255</v>
      </c>
      <c r="B19" s="4" t="s">
        <v>91</v>
      </c>
      <c r="C19" s="82">
        <f t="shared" ref="C19:D19" si="8">C17+C14</f>
        <v>-1493962</v>
      </c>
      <c r="D19" s="82">
        <f t="shared" si="8"/>
        <v>-112019</v>
      </c>
      <c r="E19" s="82">
        <f t="shared" ref="E19:K19" si="9">E17+E14</f>
        <v>473000</v>
      </c>
      <c r="F19" s="82">
        <f t="shared" ca="1" si="9"/>
        <v>837094.99919999857</v>
      </c>
      <c r="G19" s="82">
        <f t="shared" ca="1" si="9"/>
        <v>1318908.7973292954</v>
      </c>
      <c r="H19" s="82">
        <f t="shared" ca="1" si="9"/>
        <v>1798173.0286406325</v>
      </c>
      <c r="I19" s="82">
        <f t="shared" ca="1" si="9"/>
        <v>2381661.8231509011</v>
      </c>
      <c r="J19" s="82">
        <f t="shared" ca="1" si="9"/>
        <v>3088023.4583774637</v>
      </c>
      <c r="K19" s="82">
        <f t="shared" ca="1" si="9"/>
        <v>3666451.0130480584</v>
      </c>
    </row>
    <row r="20" spans="1:11" x14ac:dyDescent="0.25">
      <c r="B20" s="88" t="s">
        <v>87</v>
      </c>
      <c r="C20" s="89">
        <f t="shared" ref="C20:D20" si="10">C19/C9</f>
        <v>-8.1165478998251259E-2</v>
      </c>
      <c r="D20" s="89">
        <f t="shared" si="10"/>
        <v>-5.4424085569302052E-3</v>
      </c>
      <c r="E20" s="89">
        <f t="shared" ref="E20:K20" si="11">E19/E9</f>
        <v>1.9398761432145348E-2</v>
      </c>
      <c r="F20" s="89">
        <f t="shared" ca="1" si="11"/>
        <v>2.8999999999999949E-2</v>
      </c>
      <c r="G20" s="89">
        <f t="shared" ca="1" si="11"/>
        <v>4.0199999999999979E-2</v>
      </c>
      <c r="H20" s="89">
        <f t="shared" ca="1" si="11"/>
        <v>4.82E-2</v>
      </c>
      <c r="I20" s="89">
        <f t="shared" ca="1" si="11"/>
        <v>5.6200000000000007E-2</v>
      </c>
      <c r="J20" s="89">
        <f t="shared" ca="1" si="11"/>
        <v>6.4200000000000035E-2</v>
      </c>
      <c r="K20" s="89">
        <f t="shared" ca="1" si="11"/>
        <v>6.7200000000000079E-2</v>
      </c>
    </row>
    <row r="21" spans="1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t="s">
        <v>255</v>
      </c>
      <c r="B22" s="1" t="s">
        <v>92</v>
      </c>
      <c r="C22" s="86">
        <f>Historicals!C56</f>
        <v>201480</v>
      </c>
      <c r="D22" s="86">
        <f>Historicals!D56</f>
        <v>230965</v>
      </c>
      <c r="E22" s="86">
        <f>Historicals!E56</f>
        <v>275000</v>
      </c>
      <c r="F22" s="87">
        <f ca="1">Assumptions!F37</f>
        <v>336425.59364399995</v>
      </c>
      <c r="G22" s="87">
        <f ca="1">Assumptions!G37</f>
        <v>384681.7325543781</v>
      </c>
      <c r="H22" s="87">
        <f ca="1">Assumptions!H37</f>
        <v>423848.4091627259</v>
      </c>
      <c r="I22" s="87">
        <f ca="1">Assumptions!I37</f>
        <v>460334.54722378403</v>
      </c>
      <c r="J22" s="87">
        <f ca="1">Assumptions!J37</f>
        <v>492003.42601056816</v>
      </c>
      <c r="K22" s="87">
        <f ca="1">Assumptions!K37</f>
        <v>516140.27653920534</v>
      </c>
    </row>
    <row r="23" spans="1:11" x14ac:dyDescent="0.25">
      <c r="B23" s="4" t="s">
        <v>114</v>
      </c>
      <c r="C23" s="82">
        <f>C19+C22</f>
        <v>-1292482</v>
      </c>
      <c r="D23" s="82">
        <f>D19+D22</f>
        <v>118946</v>
      </c>
      <c r="E23" s="82">
        <f>E19+E22</f>
        <v>748000</v>
      </c>
      <c r="F23" s="82">
        <f t="shared" ref="F23:K23" ca="1" si="12">F19+F22</f>
        <v>1173520.5928439985</v>
      </c>
      <c r="G23" s="82">
        <f t="shared" ca="1" si="12"/>
        <v>1703590.5298836734</v>
      </c>
      <c r="H23" s="82">
        <f t="shared" ca="1" si="12"/>
        <v>2222021.4378033583</v>
      </c>
      <c r="I23" s="82">
        <f t="shared" ca="1" si="12"/>
        <v>2841996.3703746852</v>
      </c>
      <c r="J23" s="82">
        <f t="shared" ca="1" si="12"/>
        <v>3580026.8843880319</v>
      </c>
      <c r="K23" s="82">
        <f t="shared" ca="1" si="12"/>
        <v>4182591.2895872639</v>
      </c>
    </row>
    <row r="24" spans="1:11" x14ac:dyDescent="0.25">
      <c r="B24" s="88" t="s">
        <v>87</v>
      </c>
      <c r="C24" s="89">
        <f t="shared" ref="C24:D24" si="13">C23/C9</f>
        <v>-7.0219269718117178E-2</v>
      </c>
      <c r="D24" s="89">
        <f t="shared" si="13"/>
        <v>5.7789547149378253E-3</v>
      </c>
      <c r="E24" s="89">
        <f t="shared" ref="E24:K24" si="14">E23/E9</f>
        <v>3.0677111101997293E-2</v>
      </c>
      <c r="F24" s="89">
        <f t="shared" ca="1" si="14"/>
        <v>4.0654999999999948E-2</v>
      </c>
      <c r="G24" s="89">
        <f t="shared" ca="1" si="14"/>
        <v>5.1924999999999978E-2</v>
      </c>
      <c r="H24" s="89">
        <f t="shared" ca="1" si="14"/>
        <v>5.9561250000000003E-2</v>
      </c>
      <c r="I24" s="89">
        <f t="shared" ca="1" si="14"/>
        <v>6.7062500000000011E-2</v>
      </c>
      <c r="J24" s="89">
        <f t="shared" ca="1" si="14"/>
        <v>7.442875000000003E-2</v>
      </c>
      <c r="K24" s="89">
        <f t="shared" ca="1" si="14"/>
        <v>7.6660000000000089E-2</v>
      </c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t="s">
        <v>255</v>
      </c>
      <c r="B26" s="1" t="s">
        <v>93</v>
      </c>
      <c r="C26" s="86">
        <f>Historicals!C12</f>
        <v>-10913</v>
      </c>
      <c r="D26" s="86">
        <f>Historicals!D12</f>
        <v>-6715</v>
      </c>
      <c r="E26" s="86">
        <f>Historicals!E12</f>
        <v>-19000</v>
      </c>
      <c r="F26" s="87">
        <f ca="1">Assumptions!F49</f>
        <v>-34638.413759999996</v>
      </c>
      <c r="G26" s="87">
        <f ca="1">Assumptions!G49</f>
        <v>-32808.676550480006</v>
      </c>
      <c r="H26" s="87">
        <f ca="1">Assumptions!H49</f>
        <v>-37306.494370137603</v>
      </c>
      <c r="I26" s="87">
        <f ca="1">Assumptions!I49</f>
        <v>-42378.324255354106</v>
      </c>
      <c r="J26" s="87">
        <f ca="1">Assumptions!J49</f>
        <v>-48100.053868807823</v>
      </c>
      <c r="K26" s="87">
        <f ca="1">Assumptions!K49</f>
        <v>-54560.282932262708</v>
      </c>
    </row>
    <row r="27" spans="1:11" x14ac:dyDescent="0.25">
      <c r="B27" s="1" t="s">
        <v>102</v>
      </c>
      <c r="C27" s="86">
        <f>Historicals!C14</f>
        <v>1002</v>
      </c>
      <c r="D27" s="86">
        <f>Historicals!D14</f>
        <v>-1063</v>
      </c>
      <c r="E27" s="86">
        <f>-Historicals!E14</f>
        <v>776000</v>
      </c>
      <c r="F27" s="87">
        <f ca="1">Assumptions!F43</f>
        <v>-178803.49182911971</v>
      </c>
      <c r="G27" s="87">
        <f ca="1">Assumptions!G43</f>
        <v>-303349.02338573796</v>
      </c>
      <c r="H27" s="87">
        <f ca="1">Assumptions!H43</f>
        <v>-413579.79658734548</v>
      </c>
      <c r="I27" s="87">
        <f ca="1">Assumptions!I43</f>
        <v>-547782.21932470729</v>
      </c>
      <c r="J27" s="87">
        <f ca="1">Assumptions!J43</f>
        <v>-710245.39542681666</v>
      </c>
      <c r="K27" s="87">
        <f ca="1">Assumptions!K43</f>
        <v>-843283.73300105345</v>
      </c>
    </row>
    <row r="28" spans="1:11" x14ac:dyDescent="0.25">
      <c r="B28" s="88" t="s">
        <v>95</v>
      </c>
      <c r="C28" s="89">
        <f t="shared" ref="C28:D28" si="15">C27/C19</f>
        <v>-6.7069979022224124E-4</v>
      </c>
      <c r="D28" s="89">
        <f t="shared" si="15"/>
        <v>9.4894616091912975E-3</v>
      </c>
      <c r="E28" s="89">
        <f>E27/E19</f>
        <v>1.6405919661733614</v>
      </c>
      <c r="F28" s="89">
        <f ca="1">Assumptions!F44</f>
        <v>0.21360000000000001</v>
      </c>
      <c r="G28" s="89">
        <f ca="1">Assumptions!G44</f>
        <v>0.23</v>
      </c>
      <c r="H28" s="89">
        <f ca="1">Assumptions!H44</f>
        <v>0.23</v>
      </c>
      <c r="I28" s="89">
        <f ca="1">Assumptions!I44</f>
        <v>0.23</v>
      </c>
      <c r="J28" s="89">
        <f ca="1">Assumptions!J44</f>
        <v>0.23</v>
      </c>
      <c r="K28" s="89">
        <f ca="1">Assumptions!K44</f>
        <v>0.23</v>
      </c>
    </row>
    <row r="29" spans="1:11" x14ac:dyDescent="0.25">
      <c r="B29" s="4" t="s">
        <v>113</v>
      </c>
      <c r="C29" s="82">
        <f t="shared" ref="C29:D29" si="16">SUM(C27:C27)+C19</f>
        <v>-1492960</v>
      </c>
      <c r="D29" s="82">
        <f t="shared" si="16"/>
        <v>-113082</v>
      </c>
      <c r="E29" s="82">
        <f>SUM(E27:E27)+E19</f>
        <v>1249000</v>
      </c>
      <c r="F29" s="82">
        <f ca="1">SUM(F27:F27)+F19</f>
        <v>658291.50737087883</v>
      </c>
      <c r="G29" s="82">
        <f t="shared" ref="G29:K29" ca="1" si="17">SUM(G27:G27)+G19</f>
        <v>1015559.7739435574</v>
      </c>
      <c r="H29" s="82">
        <f t="shared" ca="1" si="17"/>
        <v>1384593.2320532871</v>
      </c>
      <c r="I29" s="82">
        <f t="shared" ca="1" si="17"/>
        <v>1833879.6038261938</v>
      </c>
      <c r="J29" s="82">
        <f t="shared" ca="1" si="17"/>
        <v>2377778.062950647</v>
      </c>
      <c r="K29" s="82">
        <f t="shared" ca="1" si="17"/>
        <v>2823167.280047005</v>
      </c>
    </row>
    <row r="30" spans="1:11" x14ac:dyDescent="0.25">
      <c r="B30" s="88" t="s">
        <v>87</v>
      </c>
      <c r="C30" s="89">
        <f t="shared" ref="C30:D30" si="18">C29/C9</f>
        <v>-8.111104132851385E-2</v>
      </c>
      <c r="D30" s="89">
        <f t="shared" si="18"/>
        <v>-5.4940540839927285E-3</v>
      </c>
      <c r="E30" s="89">
        <f t="shared" ref="E30:K30" si="19">E29/E9</f>
        <v>5.1224213591436654E-2</v>
      </c>
      <c r="F30" s="89">
        <f ca="1">F29/F9</f>
        <v>2.2805599999999957E-2</v>
      </c>
      <c r="G30" s="89">
        <f t="shared" ca="1" si="19"/>
        <v>3.0953999999999982E-2</v>
      </c>
      <c r="H30" s="89">
        <f t="shared" ca="1" si="19"/>
        <v>3.7114000000000001E-2</v>
      </c>
      <c r="I30" s="89">
        <f t="shared" ca="1" si="19"/>
        <v>4.3274000000000007E-2</v>
      </c>
      <c r="J30" s="89">
        <f t="shared" ca="1" si="19"/>
        <v>4.943400000000002E-2</v>
      </c>
      <c r="K30" s="89">
        <f t="shared" ca="1" si="19"/>
        <v>5.1744000000000068E-2</v>
      </c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t="s">
        <v>255</v>
      </c>
      <c r="B32" s="1" t="s">
        <v>94</v>
      </c>
      <c r="C32" s="86">
        <f>Historicals!C73+Historicals!C74</f>
        <v>-671799</v>
      </c>
      <c r="D32" s="86">
        <f>Historicals!D73+Historicals!D74</f>
        <v>-811080</v>
      </c>
      <c r="E32" s="86">
        <f>Historicals!E73+Historicals!E74</f>
        <v>-877000</v>
      </c>
      <c r="F32" s="87">
        <f ca="1">Assumptions!F31</f>
        <v>-1068017.7575999999</v>
      </c>
      <c r="G32" s="87">
        <f ca="1">Assumptions!G31</f>
        <v>-1099090.6644410803</v>
      </c>
      <c r="H32" s="87">
        <f ca="1">Assumptions!H31</f>
        <v>-1137848.0782891971</v>
      </c>
      <c r="I32" s="87">
        <f ca="1">Assumptions!I31</f>
        <v>-1165403.917022238</v>
      </c>
      <c r="J32" s="87">
        <f ca="1">Assumptions!J31</f>
        <v>-1178451.3197857919</v>
      </c>
      <c r="K32" s="87">
        <f ca="1">Assumptions!K31</f>
        <v>-1173046.0830436484</v>
      </c>
    </row>
    <row r="33" spans="1:11" x14ac:dyDescent="0.25">
      <c r="B33" s="1"/>
      <c r="C33" s="90"/>
      <c r="D33" s="90"/>
      <c r="E33" s="90"/>
      <c r="F33" s="91"/>
      <c r="G33" s="91"/>
      <c r="H33" s="91"/>
      <c r="I33" s="91"/>
      <c r="J33" s="91"/>
      <c r="K33" s="91"/>
    </row>
    <row r="34" spans="1:11" x14ac:dyDescent="0.25">
      <c r="A34" t="s">
        <v>255</v>
      </c>
      <c r="B34" s="1" t="s">
        <v>96</v>
      </c>
      <c r="C34" s="86">
        <f>Historicals!C21</f>
        <v>175350</v>
      </c>
      <c r="D34" s="86">
        <f>Historicals!D21</f>
        <v>184463</v>
      </c>
      <c r="E34" s="86">
        <f>Historicals!E21</f>
        <v>314000</v>
      </c>
      <c r="F34" s="87">
        <f ca="1">Assumptions!F55</f>
        <v>230922.75840000002</v>
      </c>
      <c r="G34" s="87">
        <f ca="1">Assumptions!G55</f>
        <v>262469.41240384005</v>
      </c>
      <c r="H34" s="87">
        <f ca="1">Assumptions!H55</f>
        <v>298451.95496110083</v>
      </c>
      <c r="I34" s="87">
        <f ca="1">Assumptions!I55</f>
        <v>339026.59404283285</v>
      </c>
      <c r="J34" s="87">
        <f ca="1">Assumptions!J55</f>
        <v>384800.43095046259</v>
      </c>
      <c r="K34" s="87">
        <f ca="1">Assumptions!K55</f>
        <v>436482.26345810166</v>
      </c>
    </row>
    <row r="35" spans="1:11" x14ac:dyDescent="0.25">
      <c r="B35" s="1" t="s">
        <v>97</v>
      </c>
      <c r="C35" s="86">
        <f>Historicals!C22</f>
        <v>1421501</v>
      </c>
      <c r="D35" s="86">
        <f>Historicals!D22</f>
        <v>1656851</v>
      </c>
      <c r="E35" s="86">
        <f>Historicals!E22</f>
        <v>1666000</v>
      </c>
      <c r="F35" s="87">
        <f ca="1">Assumptions!F61</f>
        <v>2138922.0496800002</v>
      </c>
      <c r="G35" s="87">
        <f ca="1">Assumptions!G61</f>
        <v>2354350.6292624455</v>
      </c>
      <c r="H35" s="87">
        <f ca="1">Assumptions!H61</f>
        <v>2590749.5015342059</v>
      </c>
      <c r="I35" s="87">
        <f ca="1">Assumptions!I61</f>
        <v>2845916.3653683052</v>
      </c>
      <c r="J35" s="87">
        <f ca="1">Assumptions!J61</f>
        <v>3121212.4955469393</v>
      </c>
      <c r="K35" s="87">
        <f ca="1">Assumptions!K61</f>
        <v>3442071.8494891226</v>
      </c>
    </row>
    <row r="36" spans="1:11" x14ac:dyDescent="0.25">
      <c r="B36" s="1" t="s">
        <v>123</v>
      </c>
      <c r="C36" s="86">
        <f>Historicals!C23</f>
        <v>232447</v>
      </c>
      <c r="D36" s="86">
        <f>Historicals!D23</f>
        <v>303166</v>
      </c>
      <c r="E36" s="86">
        <f>Historicals!E23</f>
        <v>316000</v>
      </c>
      <c r="F36" s="87">
        <f ca="1">Assumptions!F67</f>
        <v>432980.17200000002</v>
      </c>
      <c r="G36" s="87">
        <f ca="1">Assumptions!G67</f>
        <v>492130.14825720002</v>
      </c>
      <c r="H36" s="87">
        <f ca="1">Assumptions!H67</f>
        <v>559597.41555206396</v>
      </c>
      <c r="I36" s="87">
        <f ca="1">Assumptions!I67</f>
        <v>635674.86383031157</v>
      </c>
      <c r="J36" s="87">
        <f ca="1">Assumptions!J67</f>
        <v>721500.80803211732</v>
      </c>
      <c r="K36" s="87">
        <f ca="1">Assumptions!K67</f>
        <v>818404.24398394057</v>
      </c>
    </row>
    <row r="37" spans="1:11" x14ac:dyDescent="0.25">
      <c r="B37" s="4" t="s">
        <v>98</v>
      </c>
      <c r="C37" s="82">
        <f t="shared" ref="C37:D37" si="20">SUM(C34:C36)</f>
        <v>1829298</v>
      </c>
      <c r="D37" s="82">
        <f t="shared" si="20"/>
        <v>2144480</v>
      </c>
      <c r="E37" s="82">
        <f t="shared" ref="E37:K37" si="21">SUM(E34:E36)</f>
        <v>2296000</v>
      </c>
      <c r="F37" s="82">
        <f t="shared" ca="1" si="21"/>
        <v>2802824.9800800001</v>
      </c>
      <c r="G37" s="82">
        <f t="shared" ca="1" si="21"/>
        <v>3108950.1899234857</v>
      </c>
      <c r="H37" s="82">
        <f t="shared" ca="1" si="21"/>
        <v>3448798.8720473703</v>
      </c>
      <c r="I37" s="82">
        <f t="shared" ca="1" si="21"/>
        <v>3820617.8232414499</v>
      </c>
      <c r="J37" s="82">
        <f t="shared" ca="1" si="21"/>
        <v>4227513.7345295195</v>
      </c>
      <c r="K37" s="82">
        <f t="shared" ca="1" si="21"/>
        <v>4696958.3569311649</v>
      </c>
    </row>
    <row r="38" spans="1:11" x14ac:dyDescent="0.25">
      <c r="B38" s="1"/>
      <c r="C38" s="1"/>
      <c r="D38" s="1"/>
      <c r="E38" s="1"/>
      <c r="F38" s="79"/>
      <c r="G38" s="79"/>
      <c r="H38" s="79"/>
      <c r="I38" s="79"/>
      <c r="J38" s="79"/>
      <c r="K38" s="79"/>
    </row>
    <row r="39" spans="1:11" x14ac:dyDescent="0.25">
      <c r="A39" t="s">
        <v>255</v>
      </c>
      <c r="B39" s="1" t="s">
        <v>26</v>
      </c>
      <c r="C39" s="86">
        <f>Historicals!C31</f>
        <v>3442720</v>
      </c>
      <c r="D39" s="86">
        <f>Historicals!D31</f>
        <v>3622332</v>
      </c>
      <c r="E39" s="86">
        <f>Historicals!E31</f>
        <v>5099000</v>
      </c>
      <c r="F39" s="87">
        <f ca="1">Assumptions!F73</f>
        <v>5347305.1242000004</v>
      </c>
      <c r="G39" s="87">
        <f ca="1">Assumptions!G73</f>
        <v>6036796.485288321</v>
      </c>
      <c r="H39" s="87">
        <f ca="1">Assumptions!H73</f>
        <v>6817761.8461426469</v>
      </c>
      <c r="I39" s="87">
        <f ca="1">Assumptions!I73</f>
        <v>7691665.8523467705</v>
      </c>
      <c r="J39" s="87">
        <f ca="1">Assumptions!J73</f>
        <v>8670034.7098526098</v>
      </c>
      <c r="K39" s="87">
        <f ca="1">Assumptions!K73</f>
        <v>9834490.9985403512</v>
      </c>
    </row>
    <row r="40" spans="1:11" x14ac:dyDescent="0.25">
      <c r="B40" s="1" t="s">
        <v>27</v>
      </c>
      <c r="C40" s="86">
        <f>Historicals!C32</f>
        <v>304293</v>
      </c>
      <c r="D40" s="86">
        <f>Historicals!D32</f>
        <v>298869</v>
      </c>
      <c r="E40" s="86">
        <f>Historicals!E32</f>
        <v>352000</v>
      </c>
      <c r="F40" s="87">
        <f ca="1">Assumptions!F79</f>
        <v>490710.86160000006</v>
      </c>
      <c r="G40" s="87">
        <f ca="1">Assumptions!G79</f>
        <v>557747.50135816017</v>
      </c>
      <c r="H40" s="87">
        <f ca="1">Assumptions!H79</f>
        <v>634210.40429233923</v>
      </c>
      <c r="I40" s="87">
        <f ca="1">Assumptions!I79</f>
        <v>720431.51234101981</v>
      </c>
      <c r="J40" s="87">
        <f ca="1">Assumptions!J79</f>
        <v>817700.91576973302</v>
      </c>
      <c r="K40" s="87">
        <f ca="1">Assumptions!K79</f>
        <v>927524.80984846607</v>
      </c>
    </row>
    <row r="41" spans="1:11" x14ac:dyDescent="0.25">
      <c r="B41" s="1" t="s">
        <v>28</v>
      </c>
      <c r="C41" s="86">
        <f>Historicals!C33</f>
        <v>93972</v>
      </c>
      <c r="D41" s="86">
        <f>Historicals!D33</f>
        <v>92361</v>
      </c>
      <c r="E41" s="86">
        <f>Historicals!E33</f>
        <v>97000</v>
      </c>
      <c r="F41" s="87">
        <f ca="1">Assumptions!F85</f>
        <v>144326.72400000002</v>
      </c>
      <c r="G41" s="87">
        <f ca="1">Assumptions!G85</f>
        <v>164043.38275240004</v>
      </c>
      <c r="H41" s="87">
        <f ca="1">Assumptions!H85</f>
        <v>186532.47185068802</v>
      </c>
      <c r="I41" s="87">
        <f ca="1">Assumptions!I85</f>
        <v>211891.62127677054</v>
      </c>
      <c r="J41" s="87">
        <f ca="1">Assumptions!J85</f>
        <v>240500.26934403912</v>
      </c>
      <c r="K41" s="87">
        <f ca="1">Assumptions!K85</f>
        <v>272801.41466131352</v>
      </c>
    </row>
    <row r="42" spans="1:11" x14ac:dyDescent="0.25">
      <c r="B42" s="92" t="s">
        <v>151</v>
      </c>
      <c r="C42" s="86">
        <f>-Historicals!C34</f>
        <v>-7811</v>
      </c>
      <c r="D42" s="86">
        <f>-Historicals!D34</f>
        <v>-175403</v>
      </c>
      <c r="E42" s="86">
        <f>-Historicals!E34</f>
        <v>-282000</v>
      </c>
      <c r="F42" s="87">
        <f ca="1">Assumptions!F91</f>
        <v>-230922.75840000002</v>
      </c>
      <c r="G42" s="87">
        <f ca="1">Assumptions!G91</f>
        <v>-262469.41240384005</v>
      </c>
      <c r="H42" s="87">
        <f ca="1">Assumptions!H91</f>
        <v>-298451.95496110083</v>
      </c>
      <c r="I42" s="87">
        <f ca="1">Assumptions!I91</f>
        <v>-339026.59404283285</v>
      </c>
      <c r="J42" s="87">
        <f ca="1">Assumptions!J91</f>
        <v>-384800.43095046259</v>
      </c>
      <c r="K42" s="87">
        <f ca="1">Assumptions!K91</f>
        <v>-436482.26345810166</v>
      </c>
    </row>
    <row r="43" spans="1:11" x14ac:dyDescent="0.25">
      <c r="B43" s="92" t="s">
        <v>152</v>
      </c>
      <c r="C43" s="86">
        <f>-Historicals!C35</f>
        <v>-341717</v>
      </c>
      <c r="D43" s="86">
        <f>-Historicals!D35</f>
        <v>-128936</v>
      </c>
      <c r="E43" s="86">
        <f>-Historicals!E35</f>
        <v>-203000</v>
      </c>
      <c r="F43" s="87">
        <f ca="1">Assumptions!F97</f>
        <v>-173192.06880000001</v>
      </c>
      <c r="G43" s="87">
        <f ca="1">Assumptions!G97</f>
        <v>-196852.05930288002</v>
      </c>
      <c r="H43" s="87">
        <f ca="1">Assumptions!H97</f>
        <v>-223838.96622082562</v>
      </c>
      <c r="I43" s="87">
        <f ca="1">Assumptions!I97</f>
        <v>-254269.94553212464</v>
      </c>
      <c r="J43" s="87">
        <f ca="1">Assumptions!J97</f>
        <v>-288600.32321284694</v>
      </c>
      <c r="K43" s="87">
        <f ca="1">Assumptions!K97</f>
        <v>-327361.69759357622</v>
      </c>
    </row>
    <row r="44" spans="1:11" x14ac:dyDescent="0.25">
      <c r="B44" s="92" t="s">
        <v>150</v>
      </c>
      <c r="C44" s="86">
        <f>-Historicals!C36</f>
        <v>-287066</v>
      </c>
      <c r="D44" s="86">
        <f>-Historicals!D36</f>
        <v>-325924</v>
      </c>
      <c r="E44" s="86">
        <f>-Historicals!E36</f>
        <v>-386000</v>
      </c>
      <c r="F44" s="87">
        <f ca="1">Assumptions!F103</f>
        <v>-461845.51680000004</v>
      </c>
      <c r="G44" s="87">
        <f ca="1">Assumptions!G103</f>
        <v>-524938.8248076801</v>
      </c>
      <c r="H44" s="87">
        <f ca="1">Assumptions!H103</f>
        <v>-596903.90992220165</v>
      </c>
      <c r="I44" s="87">
        <f ca="1">Assumptions!I103</f>
        <v>-678053.18808566569</v>
      </c>
      <c r="J44" s="87">
        <f ca="1">Assumptions!J103</f>
        <v>-769600.86190092517</v>
      </c>
      <c r="K44" s="87">
        <f ca="1">Assumptions!K103</f>
        <v>-872964.52691620332</v>
      </c>
    </row>
    <row r="45" spans="1:11" x14ac:dyDescent="0.25">
      <c r="B45" s="1" t="s">
        <v>32</v>
      </c>
      <c r="C45" s="86">
        <f>Historicals!C37</f>
        <v>266709</v>
      </c>
      <c r="D45" s="86">
        <f>Historicals!D37</f>
        <v>418681</v>
      </c>
      <c r="E45" s="86">
        <f>Historicals!E37</f>
        <v>526000</v>
      </c>
      <c r="F45" s="87">
        <f ca="1">Assumptions!F109</f>
        <v>577306.89600000007</v>
      </c>
      <c r="G45" s="87">
        <f ca="1">Assumptions!G109</f>
        <v>656173.53100960015</v>
      </c>
      <c r="H45" s="87">
        <f ca="1">Assumptions!H109</f>
        <v>746129.88740275207</v>
      </c>
      <c r="I45" s="87">
        <f ca="1">Assumptions!I109</f>
        <v>847566.48510708218</v>
      </c>
      <c r="J45" s="87">
        <f ca="1">Assumptions!J109</f>
        <v>962001.07737615646</v>
      </c>
      <c r="K45" s="87">
        <f ca="1">Assumptions!K109</f>
        <v>1091205.6586452541</v>
      </c>
    </row>
    <row r="46" spans="1:11" x14ac:dyDescent="0.25">
      <c r="B46" s="4" t="s">
        <v>99</v>
      </c>
      <c r="C46" s="82">
        <f>SUM(C39:C45)</f>
        <v>3471100</v>
      </c>
      <c r="D46" s="82">
        <f t="shared" ref="D46" si="22">SUM(D39:D45)</f>
        <v>3801980</v>
      </c>
      <c r="E46" s="82">
        <f>SUM(E39:E45)</f>
        <v>5203000</v>
      </c>
      <c r="F46" s="82">
        <f t="shared" ref="F46:K46" ca="1" si="23">SUM(F39:F45)</f>
        <v>5693689.2618000014</v>
      </c>
      <c r="G46" s="82">
        <f t="shared" ca="1" si="23"/>
        <v>6430500.603894081</v>
      </c>
      <c r="H46" s="82">
        <f t="shared" ca="1" si="23"/>
        <v>7265439.7785842977</v>
      </c>
      <c r="I46" s="82">
        <f t="shared" ca="1" si="23"/>
        <v>8200205.7434110194</v>
      </c>
      <c r="J46" s="82">
        <f t="shared" ca="1" si="23"/>
        <v>9247235.356278304</v>
      </c>
      <c r="K46" s="82">
        <f t="shared" ca="1" si="23"/>
        <v>10489214.393727506</v>
      </c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t="s">
        <v>255</v>
      </c>
      <c r="B48" s="1" t="s">
        <v>100</v>
      </c>
      <c r="C48" s="79">
        <f>C37-C46</f>
        <v>-1641802</v>
      </c>
      <c r="D48" s="79">
        <f t="shared" ref="D48" si="24">D37-D46</f>
        <v>-1657500</v>
      </c>
      <c r="E48" s="79">
        <f>E37-E46</f>
        <v>-2907000</v>
      </c>
      <c r="F48" s="79">
        <f ca="1">F37-F46</f>
        <v>-2890864.2817200013</v>
      </c>
      <c r="G48" s="79">
        <f ca="1">G37-G46</f>
        <v>-3321550.4139705952</v>
      </c>
      <c r="H48" s="79">
        <f ca="1">H37-H46</f>
        <v>-3816640.9065369274</v>
      </c>
      <c r="I48" s="79">
        <f ca="1">I37-I46</f>
        <v>-4379587.9201695696</v>
      </c>
      <c r="J48" s="79">
        <f t="shared" ref="J48:K48" ca="1" si="25">J37-J46</f>
        <v>-5019721.6217487846</v>
      </c>
      <c r="K48" s="79">
        <f t="shared" ca="1" si="25"/>
        <v>-5792256.0367963407</v>
      </c>
    </row>
    <row r="49" spans="2:11" x14ac:dyDescent="0.25">
      <c r="B49" s="4" t="s">
        <v>101</v>
      </c>
      <c r="C49" s="1"/>
      <c r="D49" s="82">
        <f>D48-C48</f>
        <v>-15698</v>
      </c>
      <c r="E49" s="82">
        <f>E48-D48</f>
        <v>-1249500</v>
      </c>
      <c r="F49" s="82">
        <f ca="1">F48-E48</f>
        <v>16135.718279998749</v>
      </c>
      <c r="G49" s="82">
        <f ca="1">G48-F48</f>
        <v>-430686.13225059398</v>
      </c>
      <c r="H49" s="82">
        <f t="shared" ref="H49:K49" ca="1" si="26">H48-G48</f>
        <v>-495090.49256633222</v>
      </c>
      <c r="I49" s="82">
        <f t="shared" ca="1" si="26"/>
        <v>-562947.01363264211</v>
      </c>
      <c r="J49" s="82">
        <f t="shared" ca="1" si="26"/>
        <v>-640133.70157921501</v>
      </c>
      <c r="K49" s="82">
        <f t="shared" ca="1" si="26"/>
        <v>-772534.41504755616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9A040-894D-784E-A610-DDC39A558C7F}">
  <dimension ref="A2:R119"/>
  <sheetViews>
    <sheetView showGridLines="0" workbookViewId="0">
      <pane ySplit="6" topLeftCell="A1048546" activePane="bottomLeft" state="frozen"/>
      <selection pane="bottomLeft" activeCell="B6" sqref="B6"/>
    </sheetView>
  </sheetViews>
  <sheetFormatPr defaultColWidth="11.42578125" defaultRowHeight="15" x14ac:dyDescent="0.25"/>
  <cols>
    <col min="1" max="1" width="3.7109375" customWidth="1"/>
    <col min="2" max="2" width="57.140625" bestFit="1" customWidth="1"/>
    <col min="3" max="7" width="14.140625" bestFit="1" customWidth="1"/>
    <col min="8" max="9" width="14" bestFit="1" customWidth="1"/>
    <col min="10" max="10" width="14.140625" bestFit="1" customWidth="1"/>
    <col min="11" max="11" width="14.28515625" bestFit="1" customWidth="1"/>
    <col min="14" max="14" width="31" style="123" customWidth="1"/>
    <col min="15" max="18" width="11.42578125" style="123"/>
  </cols>
  <sheetData>
    <row r="2" spans="1:18" x14ac:dyDescent="0.25">
      <c r="B2" s="1" t="s">
        <v>82</v>
      </c>
    </row>
    <row r="3" spans="1:18" x14ac:dyDescent="0.25">
      <c r="B3" s="1" t="s">
        <v>256</v>
      </c>
    </row>
    <row r="4" spans="1:18" x14ac:dyDescent="0.25">
      <c r="B4" s="99" t="s">
        <v>201</v>
      </c>
      <c r="C4" s="1">
        <f>Master!C8</f>
        <v>1</v>
      </c>
    </row>
    <row r="5" spans="1:18" x14ac:dyDescent="0.25">
      <c r="C5" s="1"/>
      <c r="D5" s="1"/>
      <c r="E5" s="1"/>
      <c r="F5" s="1"/>
      <c r="G5" s="1"/>
      <c r="H5" s="1"/>
      <c r="I5" s="1"/>
      <c r="J5" s="1"/>
      <c r="K5" s="1"/>
      <c r="L5" s="1" t="s">
        <v>104</v>
      </c>
      <c r="M5" s="1"/>
      <c r="N5" s="124" t="s">
        <v>105</v>
      </c>
    </row>
    <row r="6" spans="1:18" x14ac:dyDescent="0.25">
      <c r="C6" s="97">
        <v>2021</v>
      </c>
      <c r="D6" s="97">
        <f>C6+1</f>
        <v>2022</v>
      </c>
      <c r="E6" s="97">
        <f t="shared" ref="E6:K6" si="0">D6+1</f>
        <v>2023</v>
      </c>
      <c r="F6" s="98">
        <f t="shared" si="0"/>
        <v>2024</v>
      </c>
      <c r="G6" s="98">
        <f t="shared" si="0"/>
        <v>2025</v>
      </c>
      <c r="H6" s="98">
        <f t="shared" si="0"/>
        <v>2026</v>
      </c>
      <c r="I6" s="98">
        <f t="shared" si="0"/>
        <v>2027</v>
      </c>
      <c r="J6" s="98">
        <f t="shared" si="0"/>
        <v>2028</v>
      </c>
      <c r="K6" s="98">
        <f t="shared" si="0"/>
        <v>2029</v>
      </c>
      <c r="L6" s="1"/>
      <c r="M6" s="1"/>
      <c r="N6" s="124"/>
    </row>
    <row r="7" spans="1:18" x14ac:dyDescent="0.25">
      <c r="A7" t="s">
        <v>255</v>
      </c>
      <c r="B7" s="11" t="s">
        <v>88</v>
      </c>
      <c r="C7" s="14">
        <f>'Operating '!C7</f>
        <v>16487975</v>
      </c>
      <c r="D7" s="14">
        <f>'Operating '!D7</f>
        <v>18338177</v>
      </c>
      <c r="E7" s="14">
        <f>'Operating '!E7</f>
        <v>21223000</v>
      </c>
      <c r="F7" s="15">
        <f ca="1">E7*(1+F8)</f>
        <v>24567744.800000001</v>
      </c>
      <c r="G7" s="15">
        <f t="shared" ref="G7:K7" ca="1" si="1">F7*(1+G8)</f>
        <v>27518330.950480003</v>
      </c>
      <c r="H7" s="15">
        <f t="shared" ca="1" si="1"/>
        <v>30820530.664537605</v>
      </c>
      <c r="I7" s="15">
        <f t="shared" ca="1" si="1"/>
        <v>34426532.752288505</v>
      </c>
      <c r="J7" s="15">
        <f t="shared" ca="1" si="1"/>
        <v>38351157.486049391</v>
      </c>
      <c r="K7" s="15">
        <f t="shared" ca="1" si="1"/>
        <v>42608135.967000872</v>
      </c>
      <c r="L7" s="1"/>
      <c r="M7" s="1"/>
      <c r="N7" s="124"/>
      <c r="O7" s="124"/>
      <c r="P7" s="124"/>
      <c r="Q7" s="124"/>
      <c r="R7" s="124"/>
    </row>
    <row r="8" spans="1:18" x14ac:dyDescent="0.25">
      <c r="B8" s="16" t="s">
        <v>84</v>
      </c>
      <c r="C8" s="17"/>
      <c r="D8" s="18">
        <f t="shared" ref="D8:E8" si="2">+D7/C7-1</f>
        <v>0.11221523564901092</v>
      </c>
      <c r="E8" s="18">
        <f t="shared" si="2"/>
        <v>0.1573124198768503</v>
      </c>
      <c r="F8" s="18">
        <f t="shared" ref="F8:K8" ca="1" si="3">+OFFSET(F8,$C$4,)</f>
        <v>0.15759999999999999</v>
      </c>
      <c r="G8" s="18">
        <f t="shared" ca="1" si="3"/>
        <v>0.1201</v>
      </c>
      <c r="H8" s="18">
        <f t="shared" ca="1" si="3"/>
        <v>0.12</v>
      </c>
      <c r="I8" s="18">
        <f t="shared" ca="1" si="3"/>
        <v>0.11699999999999999</v>
      </c>
      <c r="J8" s="18">
        <f t="shared" ca="1" si="3"/>
        <v>0.11399999999999999</v>
      </c>
      <c r="K8" s="18">
        <f t="shared" ca="1" si="3"/>
        <v>0.11099999999999999</v>
      </c>
      <c r="L8" s="1"/>
      <c r="M8" s="1"/>
      <c r="O8" s="124"/>
      <c r="P8" s="124"/>
      <c r="Q8" s="124"/>
      <c r="R8" s="124"/>
    </row>
    <row r="9" spans="1:18" x14ac:dyDescent="0.25">
      <c r="B9" s="7" t="s">
        <v>78</v>
      </c>
      <c r="C9" s="1"/>
      <c r="D9" s="1"/>
      <c r="E9" s="1"/>
      <c r="F9" s="19">
        <v>0.15759999999999999</v>
      </c>
      <c r="G9" s="19">
        <v>0.1201</v>
      </c>
      <c r="H9" s="19">
        <v>0.12</v>
      </c>
      <c r="I9" s="19">
        <f>H9+$L9</f>
        <v>0.11699999999999999</v>
      </c>
      <c r="J9" s="19">
        <f t="shared" ref="J9" si="4">I9+$L9</f>
        <v>0.11399999999999999</v>
      </c>
      <c r="K9" s="19">
        <f>J9+$L9</f>
        <v>0.11099999999999999</v>
      </c>
      <c r="L9" s="20">
        <v>-3.0000000000000001E-3</v>
      </c>
      <c r="M9" s="1"/>
      <c r="N9" s="135" t="s">
        <v>250</v>
      </c>
      <c r="O9" s="135"/>
      <c r="P9" s="135"/>
      <c r="Q9" s="125"/>
      <c r="R9" s="125"/>
    </row>
    <row r="10" spans="1:18" x14ac:dyDescent="0.25">
      <c r="B10" s="7" t="s">
        <v>80</v>
      </c>
      <c r="C10" s="1"/>
      <c r="D10" s="1"/>
      <c r="E10" s="1"/>
      <c r="F10" s="19">
        <f>F9+$L$10</f>
        <v>0.1651</v>
      </c>
      <c r="G10" s="19">
        <f>G9+$L$10</f>
        <v>0.12759999999999999</v>
      </c>
      <c r="H10" s="19">
        <f t="shared" ref="H10:K10" si="5">H9+$L$10</f>
        <v>0.1275</v>
      </c>
      <c r="I10" s="19">
        <f t="shared" si="5"/>
        <v>0.1245</v>
      </c>
      <c r="J10" s="19">
        <f t="shared" si="5"/>
        <v>0.1215</v>
      </c>
      <c r="K10" s="19">
        <f t="shared" si="5"/>
        <v>0.11849999999999999</v>
      </c>
      <c r="L10" s="20">
        <v>7.4999999999999997E-3</v>
      </c>
      <c r="M10" s="1"/>
      <c r="N10" s="135"/>
      <c r="O10" s="135"/>
      <c r="P10" s="135"/>
      <c r="Q10" s="125"/>
      <c r="R10" s="125"/>
    </row>
    <row r="11" spans="1:18" x14ac:dyDescent="0.25">
      <c r="B11" s="7" t="s">
        <v>81</v>
      </c>
      <c r="C11" s="1"/>
      <c r="D11" s="1"/>
      <c r="E11" s="1"/>
      <c r="F11" s="19">
        <f>F9-$L$11</f>
        <v>0.15009999999999998</v>
      </c>
      <c r="G11" s="19">
        <f>G9-$L$11</f>
        <v>0.11260000000000001</v>
      </c>
      <c r="H11" s="19">
        <f>H9-$L$11</f>
        <v>0.11249999999999999</v>
      </c>
      <c r="I11" s="19">
        <f t="shared" ref="I11:K11" si="6">I9-$L$11</f>
        <v>0.10949999999999999</v>
      </c>
      <c r="J11" s="19">
        <f t="shared" si="6"/>
        <v>0.10649999999999998</v>
      </c>
      <c r="K11" s="19">
        <f t="shared" si="6"/>
        <v>0.10349999999999998</v>
      </c>
      <c r="L11" s="20">
        <v>7.4999999999999997E-3</v>
      </c>
      <c r="M11" s="1"/>
      <c r="N11" s="135"/>
      <c r="O11" s="135"/>
      <c r="P11" s="135"/>
      <c r="Q11" s="125"/>
      <c r="R11" s="125"/>
    </row>
    <row r="12" spans="1:18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20"/>
      <c r="M12" s="1"/>
      <c r="N12" s="126"/>
      <c r="O12" s="124"/>
      <c r="P12" s="124"/>
      <c r="Q12" s="124"/>
      <c r="R12" s="124"/>
    </row>
    <row r="13" spans="1:18" x14ac:dyDescent="0.25">
      <c r="A13" t="s">
        <v>255</v>
      </c>
      <c r="B13" s="11" t="s">
        <v>103</v>
      </c>
      <c r="C13" s="14">
        <f>'Operating '!C8</f>
        <v>1918397</v>
      </c>
      <c r="D13" s="14">
        <f>'Operating '!D8</f>
        <v>2244438</v>
      </c>
      <c r="E13" s="14">
        <f>'Operating '!E8</f>
        <v>3160000</v>
      </c>
      <c r="F13" s="15">
        <f t="shared" ref="F13:K13" ca="1" si="7">+E13*(1+F14)</f>
        <v>4297600</v>
      </c>
      <c r="G13" s="15">
        <f t="shared" ca="1" si="7"/>
        <v>5290345.6000000006</v>
      </c>
      <c r="H13" s="15">
        <f t="shared" ca="1" si="7"/>
        <v>6485963.7056000009</v>
      </c>
      <c r="I13" s="15">
        <f t="shared" ca="1" si="7"/>
        <v>7951791.503065601</v>
      </c>
      <c r="J13" s="15">
        <f t="shared" ca="1" si="7"/>
        <v>9748896.3827584274</v>
      </c>
      <c r="K13" s="15">
        <f t="shared" ca="1" si="7"/>
        <v>11952146.965261832</v>
      </c>
      <c r="L13" s="1"/>
      <c r="M13" s="1"/>
      <c r="N13" s="124"/>
      <c r="O13" s="124"/>
      <c r="P13" s="124"/>
      <c r="Q13" s="124"/>
      <c r="R13" s="124"/>
    </row>
    <row r="14" spans="1:18" x14ac:dyDescent="0.25">
      <c r="B14" s="16" t="s">
        <v>84</v>
      </c>
      <c r="C14" s="17"/>
      <c r="D14" s="18">
        <f t="shared" ref="D14:E14" si="8">+D13/C13-1</f>
        <v>0.16995491548412556</v>
      </c>
      <c r="E14" s="18">
        <f t="shared" si="8"/>
        <v>0.40792483463566387</v>
      </c>
      <c r="F14" s="18">
        <f t="shared" ref="F14:K14" ca="1" si="9">+OFFSET(F14,$C$4,)</f>
        <v>0.36</v>
      </c>
      <c r="G14" s="18">
        <f t="shared" ca="1" si="9"/>
        <v>0.23100000000000001</v>
      </c>
      <c r="H14" s="18">
        <f t="shared" ca="1" si="9"/>
        <v>0.22600000000000001</v>
      </c>
      <c r="I14" s="18">
        <f t="shared" ca="1" si="9"/>
        <v>0.22600000000000001</v>
      </c>
      <c r="J14" s="18">
        <f t="shared" ca="1" si="9"/>
        <v>0.22600000000000001</v>
      </c>
      <c r="K14" s="18">
        <f t="shared" ca="1" si="9"/>
        <v>0.22600000000000001</v>
      </c>
      <c r="L14" s="1"/>
      <c r="M14" s="1"/>
      <c r="N14" s="124"/>
      <c r="O14" s="124"/>
      <c r="P14" s="124"/>
      <c r="Q14" s="124"/>
      <c r="R14" s="124"/>
    </row>
    <row r="15" spans="1:18" x14ac:dyDescent="0.25">
      <c r="B15" s="7" t="s">
        <v>78</v>
      </c>
      <c r="C15" s="1"/>
      <c r="D15" s="1"/>
      <c r="E15" s="1"/>
      <c r="F15" s="19">
        <v>0.36</v>
      </c>
      <c r="G15" s="19">
        <v>0.23100000000000001</v>
      </c>
      <c r="H15" s="19">
        <v>0.22600000000000001</v>
      </c>
      <c r="I15" s="19">
        <f>H15+$L$15</f>
        <v>0.22600000000000001</v>
      </c>
      <c r="J15" s="19">
        <f>I15+$L$15</f>
        <v>0.22600000000000001</v>
      </c>
      <c r="K15" s="19">
        <f>J15+$L$15</f>
        <v>0.22600000000000001</v>
      </c>
      <c r="L15" s="20">
        <v>0</v>
      </c>
      <c r="M15" s="1"/>
      <c r="N15" s="137" t="s">
        <v>251</v>
      </c>
      <c r="O15" s="137"/>
      <c r="P15" s="137"/>
      <c r="Q15" s="137"/>
      <c r="R15" s="137"/>
    </row>
    <row r="16" spans="1:18" x14ac:dyDescent="0.25">
      <c r="B16" s="7" t="s">
        <v>80</v>
      </c>
      <c r="C16" s="1"/>
      <c r="D16" s="1"/>
      <c r="E16" s="1"/>
      <c r="F16" s="19">
        <f>F15+$L$16</f>
        <v>0.36749999999999999</v>
      </c>
      <c r="G16" s="19">
        <f t="shared" ref="G16:K16" si="10">G15+$L$16</f>
        <v>0.23850000000000002</v>
      </c>
      <c r="H16" s="19">
        <f t="shared" si="10"/>
        <v>0.23350000000000001</v>
      </c>
      <c r="I16" s="19">
        <f t="shared" si="10"/>
        <v>0.23350000000000001</v>
      </c>
      <c r="J16" s="19">
        <f t="shared" si="10"/>
        <v>0.23350000000000001</v>
      </c>
      <c r="K16" s="19">
        <f t="shared" si="10"/>
        <v>0.23350000000000001</v>
      </c>
      <c r="L16" s="20">
        <v>7.4999999999999997E-3</v>
      </c>
      <c r="M16" s="1"/>
      <c r="N16" s="137"/>
      <c r="O16" s="137"/>
      <c r="P16" s="137"/>
      <c r="Q16" s="137"/>
      <c r="R16" s="137"/>
    </row>
    <row r="17" spans="1:18" x14ac:dyDescent="0.25">
      <c r="B17" s="7" t="s">
        <v>81</v>
      </c>
      <c r="C17" s="1"/>
      <c r="D17" s="1"/>
      <c r="E17" s="1"/>
      <c r="F17" s="19">
        <f>F15-$L$17</f>
        <v>0.35599999999999998</v>
      </c>
      <c r="G17" s="19">
        <f t="shared" ref="G17:K17" si="11">G15-$L$17</f>
        <v>0.22700000000000001</v>
      </c>
      <c r="H17" s="19">
        <f t="shared" si="11"/>
        <v>0.222</v>
      </c>
      <c r="I17" s="19">
        <f t="shared" si="11"/>
        <v>0.222</v>
      </c>
      <c r="J17" s="19">
        <f t="shared" si="11"/>
        <v>0.222</v>
      </c>
      <c r="K17" s="19">
        <f t="shared" si="11"/>
        <v>0.222</v>
      </c>
      <c r="L17" s="20">
        <v>4.0000000000000001E-3</v>
      </c>
      <c r="M17" s="1"/>
      <c r="N17" s="137"/>
      <c r="O17" s="137"/>
      <c r="P17" s="137"/>
      <c r="Q17" s="137"/>
      <c r="R17" s="137"/>
    </row>
    <row r="18" spans="1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24"/>
      <c r="O18" s="124"/>
      <c r="P18" s="124"/>
      <c r="Q18" s="124"/>
      <c r="R18" s="124"/>
    </row>
    <row r="19" spans="1:18" x14ac:dyDescent="0.25">
      <c r="A19" t="s">
        <v>255</v>
      </c>
      <c r="B19" s="11" t="s">
        <v>106</v>
      </c>
      <c r="C19" s="14">
        <f xml:space="preserve"> 'Operating '!C12</f>
        <v>-15455244</v>
      </c>
      <c r="D19" s="14">
        <f xml:space="preserve"> 'Operating '!D12</f>
        <v>-15872742</v>
      </c>
      <c r="E19" s="14">
        <f xml:space="preserve"> 'Operating '!E12</f>
        <v>-18193000</v>
      </c>
      <c r="F19" s="15">
        <f ca="1">+-F20*'Operating '!F9</f>
        <v>-21389220.496800002</v>
      </c>
      <c r="G19" s="15">
        <f ca="1">+-G20*'Operating '!G9</f>
        <v>-24147185.941153284</v>
      </c>
      <c r="H19" s="15">
        <f ca="1">+-H20*'Operating '!H9</f>
        <v>-27271047.384570587</v>
      </c>
      <c r="I19" s="15">
        <f ca="1">+-I20*'Operating '!I9</f>
        <v>-30766663.409387082</v>
      </c>
      <c r="J19" s="15">
        <f ca="1">+-J20*'Operating '!J9</f>
        <v>-34680138.839410439</v>
      </c>
      <c r="K19" s="15">
        <f ca="1">+-K20*'Operating '!K9</f>
        <v>-39337963.994161405</v>
      </c>
      <c r="L19" s="1"/>
      <c r="M19" s="1"/>
      <c r="N19" s="124"/>
      <c r="O19" s="124"/>
      <c r="P19" s="124"/>
      <c r="Q19" s="124"/>
      <c r="R19" s="124"/>
    </row>
    <row r="20" spans="1:18" x14ac:dyDescent="0.25">
      <c r="B20" s="16" t="s">
        <v>107</v>
      </c>
      <c r="C20" s="18">
        <f>+-C19/'Operating '!C9</f>
        <v>0.83966813231852533</v>
      </c>
      <c r="D20" s="18">
        <f>+-D19/'Operating '!D9</f>
        <v>0.77117227329957827</v>
      </c>
      <c r="E20" s="18">
        <f>+-E19/'Operating '!E9</f>
        <v>0.74613460197678716</v>
      </c>
      <c r="F20" s="18">
        <f ca="1">+OFFSET(F20,$C$4,)</f>
        <v>0.74099999999999999</v>
      </c>
      <c r="G20" s="18">
        <f ca="1">+OFFSET(G20,$C$4,)</f>
        <v>0.73599999999999999</v>
      </c>
      <c r="H20" s="18">
        <f t="shared" ref="H20:K20" ca="1" si="12">+OFFSET(H20,$C$4,)</f>
        <v>0.73099999999999998</v>
      </c>
      <c r="I20" s="18">
        <f t="shared" ca="1" si="12"/>
        <v>0.72599999999999998</v>
      </c>
      <c r="J20" s="18">
        <f t="shared" ca="1" si="12"/>
        <v>0.72099999999999997</v>
      </c>
      <c r="K20" s="18">
        <f t="shared" ca="1" si="12"/>
        <v>0.72099999999999997</v>
      </c>
      <c r="L20" s="1"/>
      <c r="M20" s="1"/>
      <c r="N20" s="124"/>
      <c r="O20" s="124"/>
      <c r="P20" s="124"/>
      <c r="Q20" s="124"/>
      <c r="R20" s="124"/>
    </row>
    <row r="21" spans="1:18" x14ac:dyDescent="0.25">
      <c r="B21" s="7" t="s">
        <v>78</v>
      </c>
      <c r="C21" s="1"/>
      <c r="D21" s="1"/>
      <c r="E21" s="1"/>
      <c r="F21" s="19">
        <v>0.74099999999999999</v>
      </c>
      <c r="G21" s="19">
        <f>F21+L21</f>
        <v>0.73599999999999999</v>
      </c>
      <c r="H21" s="19">
        <f>G21+$L21</f>
        <v>0.73099999999999998</v>
      </c>
      <c r="I21" s="19">
        <f>H21+$L21</f>
        <v>0.72599999999999998</v>
      </c>
      <c r="J21" s="19">
        <f>I21+$L21</f>
        <v>0.72099999999999997</v>
      </c>
      <c r="K21" s="19">
        <v>0.72099999999999997</v>
      </c>
      <c r="L21" s="20">
        <v>-5.0000000000000001E-3</v>
      </c>
      <c r="M21" s="1"/>
      <c r="N21" s="138" t="s">
        <v>252</v>
      </c>
      <c r="O21" s="138"/>
      <c r="P21" s="138"/>
      <c r="Q21" s="138"/>
      <c r="R21" s="138"/>
    </row>
    <row r="22" spans="1:18" x14ac:dyDescent="0.25">
      <c r="B22" s="7" t="s">
        <v>80</v>
      </c>
      <c r="C22" s="1"/>
      <c r="D22" s="1"/>
      <c r="E22" s="1"/>
      <c r="F22" s="19">
        <f>F21+$L$22</f>
        <v>0.73499999999999999</v>
      </c>
      <c r="G22" s="19">
        <f t="shared" ref="G22:K22" si="13">G21+$L$22</f>
        <v>0.73</v>
      </c>
      <c r="H22" s="19">
        <f t="shared" si="13"/>
        <v>0.72499999999999998</v>
      </c>
      <c r="I22" s="19">
        <f t="shared" si="13"/>
        <v>0.72</v>
      </c>
      <c r="J22" s="19">
        <f t="shared" si="13"/>
        <v>0.71499999999999997</v>
      </c>
      <c r="K22" s="19">
        <f t="shared" si="13"/>
        <v>0.71499999999999997</v>
      </c>
      <c r="L22" s="20">
        <v>-6.0000000000000001E-3</v>
      </c>
      <c r="M22" s="1"/>
      <c r="N22" s="138"/>
      <c r="O22" s="138"/>
      <c r="P22" s="138"/>
      <c r="Q22" s="138"/>
      <c r="R22" s="138"/>
    </row>
    <row r="23" spans="1:18" x14ac:dyDescent="0.25">
      <c r="B23" s="7" t="s">
        <v>81</v>
      </c>
      <c r="C23" s="1"/>
      <c r="D23" s="1"/>
      <c r="E23" s="1" t="s">
        <v>109</v>
      </c>
      <c r="F23" s="19">
        <f>F21+$L$23</f>
        <v>0.747</v>
      </c>
      <c r="G23" s="19">
        <f t="shared" ref="G23:K23" si="14">G21+$L$23</f>
        <v>0.74199999999999999</v>
      </c>
      <c r="H23" s="19">
        <f t="shared" si="14"/>
        <v>0.73699999999999999</v>
      </c>
      <c r="I23" s="19">
        <f t="shared" si="14"/>
        <v>0.73199999999999998</v>
      </c>
      <c r="J23" s="19">
        <f t="shared" si="14"/>
        <v>0.72699999999999998</v>
      </c>
      <c r="K23" s="19">
        <f t="shared" si="14"/>
        <v>0.72699999999999998</v>
      </c>
      <c r="L23" s="20">
        <v>6.0000000000000001E-3</v>
      </c>
      <c r="M23" s="1"/>
      <c r="N23" s="138"/>
      <c r="O23" s="138"/>
      <c r="P23" s="138"/>
      <c r="Q23" s="138"/>
      <c r="R23" s="138"/>
    </row>
    <row r="24" spans="1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20"/>
      <c r="M24" s="1"/>
      <c r="N24" s="124"/>
      <c r="O24" s="124"/>
      <c r="P24" s="124"/>
      <c r="Q24" s="124"/>
      <c r="R24" s="124"/>
    </row>
    <row r="25" spans="1:18" x14ac:dyDescent="0.25">
      <c r="A25" t="s">
        <v>255</v>
      </c>
      <c r="B25" s="11" t="s">
        <v>145</v>
      </c>
      <c r="C25" s="14">
        <f>'Operating '!C17</f>
        <v>-4445090</v>
      </c>
      <c r="D25" s="14">
        <f>'Operating '!D17</f>
        <v>-4821892</v>
      </c>
      <c r="E25" s="14">
        <f>'Operating '!E17</f>
        <v>-5717000</v>
      </c>
      <c r="F25" s="15">
        <f ca="1">+-F26*'Operating '!F9</f>
        <v>-6639029.3040000005</v>
      </c>
      <c r="G25" s="15">
        <f ca="1">+-G26*'Operating '!G9</f>
        <v>-7342581.8119974248</v>
      </c>
      <c r="H25" s="15">
        <f ca="1">+-H26*'Operating '!H9</f>
        <v>-8237273.9569263821</v>
      </c>
      <c r="I25" s="15">
        <f ca="1">+-I26*'Operating '!I9</f>
        <v>-9229999.0228161234</v>
      </c>
      <c r="J25" s="15">
        <f ca="1">+-J26*'Operating '!J9</f>
        <v>-10331891.57101992</v>
      </c>
      <c r="K25" s="15">
        <f ca="1">+-K26*'Operating '!K9</f>
        <v>-11555867.925053241</v>
      </c>
      <c r="L25" s="1"/>
      <c r="M25" s="1"/>
      <c r="N25" s="124"/>
      <c r="O25" s="124"/>
      <c r="P25" s="124"/>
      <c r="Q25" s="124"/>
      <c r="R25" s="124"/>
    </row>
    <row r="26" spans="1:18" x14ac:dyDescent="0.25">
      <c r="B26" s="16" t="s">
        <v>108</v>
      </c>
      <c r="C26" s="18">
        <f>+-C25/'Operating '!C9</f>
        <v>0.24149734667972592</v>
      </c>
      <c r="D26" s="18">
        <f>+-D25/'Operating '!D9</f>
        <v>0.23427013525735191</v>
      </c>
      <c r="E26" s="18">
        <f>+-E25/'Operating '!E9</f>
        <v>0.23446663659106753</v>
      </c>
      <c r="F26" s="18">
        <f t="shared" ref="F26:K26" ca="1" si="15">+OFFSET(F26,$C$4,)</f>
        <v>0.23</v>
      </c>
      <c r="G26" s="18">
        <f t="shared" ca="1" si="15"/>
        <v>0.2238</v>
      </c>
      <c r="H26" s="18">
        <f t="shared" ca="1" si="15"/>
        <v>0.2208</v>
      </c>
      <c r="I26" s="18">
        <f t="shared" ca="1" si="15"/>
        <v>0.21779999999999999</v>
      </c>
      <c r="J26" s="18">
        <f t="shared" ca="1" si="15"/>
        <v>0.21479999999999999</v>
      </c>
      <c r="K26" s="18">
        <f t="shared" ca="1" si="15"/>
        <v>0.21179999999999999</v>
      </c>
      <c r="L26" s="1"/>
      <c r="M26" s="1"/>
      <c r="N26" s="124"/>
      <c r="O26" s="124"/>
      <c r="P26" s="124"/>
      <c r="Q26" s="124"/>
      <c r="R26" s="124"/>
    </row>
    <row r="27" spans="1:18" x14ac:dyDescent="0.25">
      <c r="B27" s="7" t="s">
        <v>78</v>
      </c>
      <c r="C27" s="1"/>
      <c r="D27" s="1"/>
      <c r="E27" s="1"/>
      <c r="F27" s="19">
        <v>0.23</v>
      </c>
      <c r="G27" s="19">
        <v>0.2238</v>
      </c>
      <c r="H27" s="19">
        <f>G27-$L27</f>
        <v>0.2208</v>
      </c>
      <c r="I27" s="19">
        <f>H27-$L27</f>
        <v>0.21779999999999999</v>
      </c>
      <c r="J27" s="19">
        <f>I27-$L27</f>
        <v>0.21479999999999999</v>
      </c>
      <c r="K27" s="19">
        <f t="shared" ref="K27" si="16">J27-$L27</f>
        <v>0.21179999999999999</v>
      </c>
      <c r="L27" s="20">
        <v>3.0000000000000001E-3</v>
      </c>
      <c r="M27" s="1"/>
      <c r="N27" s="139" t="s">
        <v>202</v>
      </c>
      <c r="O27" s="139"/>
      <c r="P27" s="139"/>
      <c r="Q27" s="139"/>
      <c r="R27" s="139"/>
    </row>
    <row r="28" spans="1:18" x14ac:dyDescent="0.25">
      <c r="B28" s="7" t="s">
        <v>80</v>
      </c>
      <c r="C28" s="1"/>
      <c r="D28" s="1"/>
      <c r="E28" s="1"/>
      <c r="F28" s="19">
        <f>F27-$L$28</f>
        <v>0.2268</v>
      </c>
      <c r="G28" s="19">
        <f>G27-$L$28</f>
        <v>0.22059999999999999</v>
      </c>
      <c r="H28" s="19">
        <f t="shared" ref="H28:J28" si="17">H27-$L$28</f>
        <v>0.21759999999999999</v>
      </c>
      <c r="I28" s="19">
        <f t="shared" si="17"/>
        <v>0.21459999999999999</v>
      </c>
      <c r="J28" s="19">
        <f t="shared" si="17"/>
        <v>0.21159999999999998</v>
      </c>
      <c r="K28" s="19">
        <f>K27-$L$28</f>
        <v>0.20859999999999998</v>
      </c>
      <c r="L28" s="20">
        <v>3.2000000000000002E-3</v>
      </c>
      <c r="M28" s="1"/>
      <c r="N28" s="139"/>
      <c r="O28" s="139"/>
      <c r="P28" s="139"/>
      <c r="Q28" s="139"/>
      <c r="R28" s="139"/>
    </row>
    <row r="29" spans="1:18" x14ac:dyDescent="0.25">
      <c r="B29" s="7" t="s">
        <v>81</v>
      </c>
      <c r="C29" s="1"/>
      <c r="D29" s="1"/>
      <c r="E29" s="1"/>
      <c r="F29" s="19">
        <f>F27+$L$29</f>
        <v>0.23680000000000001</v>
      </c>
      <c r="G29" s="19">
        <f t="shared" ref="G29:H29" si="18">G27+$L$29</f>
        <v>0.2306</v>
      </c>
      <c r="H29" s="19">
        <f t="shared" si="18"/>
        <v>0.2276</v>
      </c>
      <c r="I29" s="19">
        <f>I27+$L$29</f>
        <v>0.22459999999999999</v>
      </c>
      <c r="J29" s="19">
        <f>J27+$L$29</f>
        <v>0.22159999999999999</v>
      </c>
      <c r="K29" s="19">
        <f>K27+$L$29</f>
        <v>0.21859999999999999</v>
      </c>
      <c r="L29" s="20">
        <v>6.7999999999999996E-3</v>
      </c>
      <c r="M29" s="1"/>
      <c r="N29" s="139"/>
      <c r="O29" s="139"/>
      <c r="P29" s="139"/>
      <c r="Q29" s="139"/>
      <c r="R29" s="139"/>
    </row>
    <row r="31" spans="1:18" x14ac:dyDescent="0.25">
      <c r="A31" t="s">
        <v>255</v>
      </c>
      <c r="B31" s="11" t="s">
        <v>94</v>
      </c>
      <c r="C31" s="14">
        <f>'Operating '!C32</f>
        <v>-671799</v>
      </c>
      <c r="D31" s="14">
        <f>'Operating '!D32</f>
        <v>-811080</v>
      </c>
      <c r="E31" s="14">
        <f>'Operating '!E32</f>
        <v>-877000</v>
      </c>
      <c r="F31" s="15">
        <f ca="1">-'Operating '!F9*F32</f>
        <v>-1068017.7575999999</v>
      </c>
      <c r="G31" s="15">
        <f ca="1">-'Operating '!G9*G32</f>
        <v>-1099090.6644410803</v>
      </c>
      <c r="H31" s="15">
        <f ca="1">-'Operating '!H9*H32</f>
        <v>-1137848.0782891971</v>
      </c>
      <c r="I31" s="15">
        <f ca="1">-'Operating '!I9*I32</f>
        <v>-1165403.917022238</v>
      </c>
      <c r="J31" s="15">
        <f ca="1">-'Operating '!J9*J32</f>
        <v>-1178451.3197857919</v>
      </c>
      <c r="K31" s="15">
        <f ca="1">-'Operating '!K9*K32</f>
        <v>-1173046.0830436484</v>
      </c>
      <c r="L31" s="1"/>
    </row>
    <row r="32" spans="1:18" x14ac:dyDescent="0.25">
      <c r="B32" s="16" t="s">
        <v>108</v>
      </c>
      <c r="C32" s="18">
        <f>+-C31/'Operating '!C9</f>
        <v>3.6498175740444665E-2</v>
      </c>
      <c r="D32" s="18">
        <f>+-D31/'Operating '!D9</f>
        <v>3.9406071580311834E-2</v>
      </c>
      <c r="E32" s="18">
        <f>+-E31/'Operating '!E9</f>
        <v>3.59676824016733E-2</v>
      </c>
      <c r="F32" s="18">
        <f t="shared" ref="F32:K32" ca="1" si="19">+OFFSET(F32,$C$4,)</f>
        <v>3.6999999999999998E-2</v>
      </c>
      <c r="G32" s="18">
        <f t="shared" ca="1" si="19"/>
        <v>3.3500000000000002E-2</v>
      </c>
      <c r="H32" s="18">
        <f t="shared" ca="1" si="19"/>
        <v>3.0500000000000003E-2</v>
      </c>
      <c r="I32" s="18">
        <f t="shared" ca="1" si="19"/>
        <v>2.7500000000000004E-2</v>
      </c>
      <c r="J32" s="18">
        <f t="shared" ca="1" si="19"/>
        <v>2.4500000000000004E-2</v>
      </c>
      <c r="K32" s="18">
        <f t="shared" ca="1" si="19"/>
        <v>2.1500000000000005E-2</v>
      </c>
      <c r="L32" s="1"/>
    </row>
    <row r="33" spans="1:18" x14ac:dyDescent="0.25">
      <c r="B33" s="7" t="s">
        <v>78</v>
      </c>
      <c r="C33" s="1"/>
      <c r="D33" s="1"/>
      <c r="E33" s="1"/>
      <c r="F33" s="19">
        <v>3.6999999999999998E-2</v>
      </c>
      <c r="G33" s="19">
        <v>3.3500000000000002E-2</v>
      </c>
      <c r="H33" s="19">
        <f t="shared" ref="H33:K33" si="20">G33+$L$33</f>
        <v>3.0500000000000003E-2</v>
      </c>
      <c r="I33" s="19">
        <f t="shared" si="20"/>
        <v>2.7500000000000004E-2</v>
      </c>
      <c r="J33" s="19">
        <f t="shared" si="20"/>
        <v>2.4500000000000004E-2</v>
      </c>
      <c r="K33" s="19">
        <f t="shared" si="20"/>
        <v>2.1500000000000005E-2</v>
      </c>
      <c r="L33" s="20">
        <v>-3.0000000000000001E-3</v>
      </c>
      <c r="N33" s="135" t="s">
        <v>253</v>
      </c>
      <c r="O33" s="135"/>
      <c r="P33" s="135"/>
      <c r="Q33" s="135"/>
      <c r="R33" s="135"/>
    </row>
    <row r="34" spans="1:18" x14ac:dyDescent="0.25">
      <c r="B34" s="7" t="s">
        <v>80</v>
      </c>
      <c r="C34" s="1"/>
      <c r="D34" s="1"/>
      <c r="E34" s="1"/>
      <c r="F34" s="19">
        <f>F33+$L$34</f>
        <v>3.2000000000000001E-2</v>
      </c>
      <c r="G34" s="19">
        <f t="shared" ref="G34:K34" si="21">G33+$L$34</f>
        <v>2.8500000000000001E-2</v>
      </c>
      <c r="H34" s="19">
        <f t="shared" si="21"/>
        <v>2.5500000000000002E-2</v>
      </c>
      <c r="I34" s="19">
        <f t="shared" si="21"/>
        <v>2.2500000000000003E-2</v>
      </c>
      <c r="J34" s="19">
        <f t="shared" si="21"/>
        <v>1.9500000000000003E-2</v>
      </c>
      <c r="K34" s="19">
        <f t="shared" si="21"/>
        <v>1.6500000000000004E-2</v>
      </c>
      <c r="L34" s="20">
        <v>-5.0000000000000001E-3</v>
      </c>
      <c r="N34" s="135"/>
      <c r="O34" s="135"/>
      <c r="P34" s="135"/>
      <c r="Q34" s="135"/>
      <c r="R34" s="135"/>
    </row>
    <row r="35" spans="1:18" x14ac:dyDescent="0.25">
      <c r="B35" s="7" t="s">
        <v>81</v>
      </c>
      <c r="C35" s="1"/>
      <c r="D35" s="1"/>
      <c r="E35" s="1" t="s">
        <v>109</v>
      </c>
      <c r="F35" s="19">
        <f>F33+$L$35</f>
        <v>4.1999999999999996E-2</v>
      </c>
      <c r="G35" s="19">
        <f t="shared" ref="G35:K35" si="22">G33+$L$35</f>
        <v>3.85E-2</v>
      </c>
      <c r="H35" s="19">
        <f>H33+$L$35</f>
        <v>3.5500000000000004E-2</v>
      </c>
      <c r="I35" s="19">
        <f>I33+$L$35</f>
        <v>3.2500000000000001E-2</v>
      </c>
      <c r="J35" s="19">
        <f>J33+$L$35</f>
        <v>2.9500000000000005E-2</v>
      </c>
      <c r="K35" s="19">
        <f t="shared" si="22"/>
        <v>2.6500000000000006E-2</v>
      </c>
      <c r="L35" s="20">
        <v>5.0000000000000001E-3</v>
      </c>
      <c r="N35" s="135"/>
      <c r="O35" s="135"/>
      <c r="P35" s="135"/>
      <c r="Q35" s="135"/>
      <c r="R35" s="135"/>
    </row>
    <row r="36" spans="1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20"/>
    </row>
    <row r="37" spans="1:18" x14ac:dyDescent="0.25">
      <c r="A37" t="s">
        <v>255</v>
      </c>
      <c r="B37" s="11" t="s">
        <v>110</v>
      </c>
      <c r="C37" s="14">
        <f>'Operating '!C22</f>
        <v>201480</v>
      </c>
      <c r="D37" s="14">
        <f>'Operating '!D22</f>
        <v>230965</v>
      </c>
      <c r="E37" s="14">
        <f>'Operating '!E22</f>
        <v>275000</v>
      </c>
      <c r="F37" s="15">
        <f ca="1">-F31*F38</f>
        <v>336425.59364399995</v>
      </c>
      <c r="G37" s="15">
        <f t="shared" ref="G37:K37" ca="1" si="23">-G31*G38</f>
        <v>384681.7325543781</v>
      </c>
      <c r="H37" s="15">
        <f t="shared" ca="1" si="23"/>
        <v>423848.4091627259</v>
      </c>
      <c r="I37" s="15">
        <f t="shared" ca="1" si="23"/>
        <v>460334.54722378403</v>
      </c>
      <c r="J37" s="15">
        <f t="shared" ca="1" si="23"/>
        <v>492003.42601056816</v>
      </c>
      <c r="K37" s="15">
        <f t="shared" ca="1" si="23"/>
        <v>516140.27653920534</v>
      </c>
      <c r="L37" s="1"/>
    </row>
    <row r="38" spans="1:18" x14ac:dyDescent="0.25">
      <c r="B38" s="16" t="s">
        <v>111</v>
      </c>
      <c r="C38" s="18">
        <f>-C37/C31</f>
        <v>0.29991113413387038</v>
      </c>
      <c r="D38" s="18">
        <f t="shared" ref="D38:E38" si="24">-D37/D31</f>
        <v>0.28476229225230559</v>
      </c>
      <c r="E38" s="18">
        <f t="shared" si="24"/>
        <v>0.31356898517673887</v>
      </c>
      <c r="F38" s="18">
        <f t="shared" ref="F38:K38" ca="1" si="25">+OFFSET(F38,$C$4,)</f>
        <v>0.315</v>
      </c>
      <c r="G38" s="18">
        <f t="shared" ca="1" si="25"/>
        <v>0.35</v>
      </c>
      <c r="H38" s="18">
        <f t="shared" ca="1" si="25"/>
        <v>0.3725</v>
      </c>
      <c r="I38" s="18">
        <f t="shared" ca="1" si="25"/>
        <v>0.39500000000000002</v>
      </c>
      <c r="J38" s="18">
        <f t="shared" ca="1" si="25"/>
        <v>0.41750000000000004</v>
      </c>
      <c r="K38" s="18">
        <f t="shared" ca="1" si="25"/>
        <v>0.44000000000000006</v>
      </c>
      <c r="L38" s="1"/>
    </row>
    <row r="39" spans="1:18" x14ac:dyDescent="0.25">
      <c r="B39" s="7" t="s">
        <v>78</v>
      </c>
      <c r="C39" s="1"/>
      <c r="D39" s="1"/>
      <c r="E39" s="1"/>
      <c r="F39" s="19">
        <v>0.315</v>
      </c>
      <c r="G39" s="19">
        <v>0.35</v>
      </c>
      <c r="H39" s="19">
        <f t="shared" ref="H39:K39" si="26">G39+$L$39</f>
        <v>0.3725</v>
      </c>
      <c r="I39" s="19">
        <f t="shared" si="26"/>
        <v>0.39500000000000002</v>
      </c>
      <c r="J39" s="19">
        <f t="shared" si="26"/>
        <v>0.41750000000000004</v>
      </c>
      <c r="K39" s="19">
        <f t="shared" si="26"/>
        <v>0.44000000000000006</v>
      </c>
      <c r="L39" s="20">
        <v>2.2499999999999999E-2</v>
      </c>
    </row>
    <row r="40" spans="1:18" x14ac:dyDescent="0.25">
      <c r="B40" s="7" t="s">
        <v>80</v>
      </c>
      <c r="C40" s="1"/>
      <c r="D40" s="1"/>
      <c r="E40" s="1"/>
      <c r="F40" s="19">
        <f>F39+$L$40</f>
        <v>0.32</v>
      </c>
      <c r="G40" s="19">
        <f t="shared" ref="G40:K40" si="27">G39+$L$40</f>
        <v>0.35499999999999998</v>
      </c>
      <c r="H40" s="19">
        <f t="shared" si="27"/>
        <v>0.3775</v>
      </c>
      <c r="I40" s="19">
        <f t="shared" si="27"/>
        <v>0.4</v>
      </c>
      <c r="J40" s="19">
        <f t="shared" si="27"/>
        <v>0.42250000000000004</v>
      </c>
      <c r="K40" s="19">
        <f t="shared" si="27"/>
        <v>0.44500000000000006</v>
      </c>
      <c r="L40" s="20">
        <v>5.0000000000000001E-3</v>
      </c>
    </row>
    <row r="41" spans="1:18" x14ac:dyDescent="0.25">
      <c r="B41" s="7" t="s">
        <v>81</v>
      </c>
      <c r="C41" s="1"/>
      <c r="D41" s="1"/>
      <c r="E41" s="1"/>
      <c r="F41" s="19">
        <f>F39+$L$41</f>
        <v>0.31</v>
      </c>
      <c r="G41" s="19">
        <f t="shared" ref="G41:K41" si="28">G39+$L$41</f>
        <v>0.34499999999999997</v>
      </c>
      <c r="H41" s="19">
        <f t="shared" si="28"/>
        <v>0.36749999999999999</v>
      </c>
      <c r="I41" s="19">
        <f t="shared" si="28"/>
        <v>0.39</v>
      </c>
      <c r="J41" s="19">
        <f t="shared" si="28"/>
        <v>0.41250000000000003</v>
      </c>
      <c r="K41" s="19">
        <f t="shared" si="28"/>
        <v>0.43500000000000005</v>
      </c>
      <c r="L41" s="20">
        <v>-5.0000000000000001E-3</v>
      </c>
    </row>
    <row r="43" spans="1:18" x14ac:dyDescent="0.25">
      <c r="A43" t="s">
        <v>255</v>
      </c>
      <c r="B43" s="11" t="s">
        <v>112</v>
      </c>
      <c r="C43" s="14">
        <f>'Operating '!C27</f>
        <v>1002</v>
      </c>
      <c r="D43" s="14">
        <f>'Operating '!D27</f>
        <v>-1063</v>
      </c>
      <c r="E43" s="14">
        <f>'Operating '!E27</f>
        <v>776000</v>
      </c>
      <c r="F43" s="15">
        <f ca="1">-'Operating '!F19*Assumptions!F44</f>
        <v>-178803.49182911971</v>
      </c>
      <c r="G43" s="15">
        <f ca="1">-'Operating '!G19*Assumptions!G44</f>
        <v>-303349.02338573796</v>
      </c>
      <c r="H43" s="15">
        <f ca="1">-'Operating '!H19*Assumptions!H44</f>
        <v>-413579.79658734548</v>
      </c>
      <c r="I43" s="15">
        <f ca="1">-'Operating '!I19*Assumptions!I44</f>
        <v>-547782.21932470729</v>
      </c>
      <c r="J43" s="15">
        <f ca="1">-'Operating '!J19*Assumptions!J44</f>
        <v>-710245.39542681666</v>
      </c>
      <c r="K43" s="15">
        <f ca="1">-'Operating '!K19*Assumptions!K44</f>
        <v>-843283.73300105345</v>
      </c>
      <c r="L43" s="1"/>
    </row>
    <row r="44" spans="1:18" x14ac:dyDescent="0.25">
      <c r="B44" s="16" t="s">
        <v>95</v>
      </c>
      <c r="C44" s="18">
        <f>C43/'Operating '!C19</f>
        <v>-6.7069979022224124E-4</v>
      </c>
      <c r="D44" s="18">
        <f>D43/'Operating '!D19</f>
        <v>9.4894616091912975E-3</v>
      </c>
      <c r="E44" s="18">
        <f>E43/'Operating '!E19</f>
        <v>1.6405919661733614</v>
      </c>
      <c r="F44" s="18">
        <f t="shared" ref="F44:K44" ca="1" si="29">+OFFSET(F44,$C$4,)</f>
        <v>0.21360000000000001</v>
      </c>
      <c r="G44" s="18">
        <f t="shared" ca="1" si="29"/>
        <v>0.23</v>
      </c>
      <c r="H44" s="18">
        <f t="shared" ca="1" si="29"/>
        <v>0.23</v>
      </c>
      <c r="I44" s="18">
        <f t="shared" ca="1" si="29"/>
        <v>0.23</v>
      </c>
      <c r="J44" s="18">
        <f t="shared" ca="1" si="29"/>
        <v>0.23</v>
      </c>
      <c r="K44" s="18">
        <f t="shared" ca="1" si="29"/>
        <v>0.23</v>
      </c>
      <c r="L44" s="1"/>
      <c r="N44" s="136" t="s">
        <v>254</v>
      </c>
      <c r="O44" s="136"/>
      <c r="P44" s="136"/>
      <c r="Q44" s="136"/>
      <c r="R44" s="136"/>
    </row>
    <row r="45" spans="1:18" x14ac:dyDescent="0.25">
      <c r="B45" s="7" t="s">
        <v>78</v>
      </c>
      <c r="C45" s="1"/>
      <c r="D45" s="1"/>
      <c r="E45" s="1"/>
      <c r="F45" s="19">
        <v>0.21360000000000001</v>
      </c>
      <c r="G45" s="19">
        <v>0.23</v>
      </c>
      <c r="H45" s="19">
        <v>0.23</v>
      </c>
      <c r="I45" s="19">
        <v>0.23</v>
      </c>
      <c r="J45" s="19">
        <v>0.23</v>
      </c>
      <c r="K45" s="19">
        <v>0.23</v>
      </c>
      <c r="L45" s="20"/>
    </row>
    <row r="46" spans="1:18" x14ac:dyDescent="0.25">
      <c r="B46" s="7" t="s">
        <v>80</v>
      </c>
      <c r="C46" s="1"/>
      <c r="D46" s="1"/>
      <c r="E46" s="1"/>
      <c r="F46" s="19">
        <f>F45+$L$46</f>
        <v>0.20860000000000001</v>
      </c>
      <c r="G46" s="19">
        <f t="shared" ref="G46:K46" si="30">G45+$L$46</f>
        <v>0.22500000000000001</v>
      </c>
      <c r="H46" s="19">
        <f t="shared" si="30"/>
        <v>0.22500000000000001</v>
      </c>
      <c r="I46" s="19">
        <f t="shared" si="30"/>
        <v>0.22500000000000001</v>
      </c>
      <c r="J46" s="19">
        <f t="shared" si="30"/>
        <v>0.22500000000000001</v>
      </c>
      <c r="K46" s="19">
        <f t="shared" si="30"/>
        <v>0.22500000000000001</v>
      </c>
      <c r="L46" s="20">
        <v>-5.0000000000000001E-3</v>
      </c>
    </row>
    <row r="47" spans="1:18" x14ac:dyDescent="0.25">
      <c r="B47" s="7" t="s">
        <v>81</v>
      </c>
      <c r="C47" s="1"/>
      <c r="D47" s="1"/>
      <c r="E47" s="1"/>
      <c r="F47" s="19">
        <f>F45+$L$47</f>
        <v>0.21860000000000002</v>
      </c>
      <c r="G47" s="19">
        <f t="shared" ref="G47:K47" si="31">G45+$L$47</f>
        <v>0.23500000000000001</v>
      </c>
      <c r="H47" s="19">
        <f t="shared" si="31"/>
        <v>0.23500000000000001</v>
      </c>
      <c r="I47" s="19">
        <f t="shared" si="31"/>
        <v>0.23500000000000001</v>
      </c>
      <c r="J47" s="19">
        <f t="shared" si="31"/>
        <v>0.23500000000000001</v>
      </c>
      <c r="K47" s="19">
        <f t="shared" si="31"/>
        <v>0.23500000000000001</v>
      </c>
      <c r="L47" s="20">
        <v>5.0000000000000001E-3</v>
      </c>
    </row>
    <row r="48" spans="1:18" x14ac:dyDescent="0.25">
      <c r="B48" s="7"/>
      <c r="C48" s="1"/>
      <c r="D48" s="1"/>
      <c r="E48" s="1"/>
      <c r="F48" s="34"/>
      <c r="G48" s="34"/>
      <c r="H48" s="34"/>
      <c r="I48" s="34"/>
      <c r="J48" s="34"/>
      <c r="K48" s="34"/>
      <c r="L48" s="20"/>
    </row>
    <row r="49" spans="1:18" x14ac:dyDescent="0.25">
      <c r="A49" t="s">
        <v>255</v>
      </c>
      <c r="B49" s="11" t="s">
        <v>149</v>
      </c>
      <c r="C49" s="14">
        <f>'Operating '!C26</f>
        <v>-10913</v>
      </c>
      <c r="D49" s="14">
        <f>'Operating '!D26</f>
        <v>-6715</v>
      </c>
      <c r="E49" s="14">
        <f>'Operating '!E26</f>
        <v>-19000</v>
      </c>
      <c r="F49" s="15">
        <f ca="1">-F50*'Operating '!F9</f>
        <v>-34638.413759999996</v>
      </c>
      <c r="G49" s="15">
        <f ca="1">-G50*'Operating '!G9</f>
        <v>-32808.676550480006</v>
      </c>
      <c r="H49" s="15">
        <f ca="1">-H50*'Operating '!H9</f>
        <v>-37306.494370137603</v>
      </c>
      <c r="I49" s="15">
        <f ca="1">-I50*'Operating '!I9</f>
        <v>-42378.324255354106</v>
      </c>
      <c r="J49" s="15">
        <f ca="1">-J50*'Operating '!J9</f>
        <v>-48100.053868807823</v>
      </c>
      <c r="K49" s="15">
        <f ca="1">-K50*'Operating '!K9</f>
        <v>-54560.282932262708</v>
      </c>
      <c r="L49" s="20"/>
    </row>
    <row r="50" spans="1:18" x14ac:dyDescent="0.25">
      <c r="B50" s="16" t="s">
        <v>108</v>
      </c>
      <c r="C50" s="18">
        <f>C49/-'Operating '!C9</f>
        <v>5.9289250483473871E-4</v>
      </c>
      <c r="D50" s="18">
        <f>D49/-'Operating '!D9</f>
        <v>3.2624620341001375E-4</v>
      </c>
      <c r="E50" s="18">
        <f>E49/-'Operating '!E9</f>
        <v>7.7923143173522539E-4</v>
      </c>
      <c r="F50" s="18">
        <f t="shared" ref="F50:K50" ca="1" si="32">+OFFSET(F50,$C$4,)</f>
        <v>1.1999999999999999E-3</v>
      </c>
      <c r="G50" s="18">
        <f t="shared" ca="1" si="32"/>
        <v>1E-3</v>
      </c>
      <c r="H50" s="18">
        <f t="shared" ca="1" si="32"/>
        <v>1E-3</v>
      </c>
      <c r="I50" s="18">
        <f t="shared" ca="1" si="32"/>
        <v>1E-3</v>
      </c>
      <c r="J50" s="18">
        <f t="shared" ca="1" si="32"/>
        <v>1E-3</v>
      </c>
      <c r="K50" s="18">
        <f t="shared" ca="1" si="32"/>
        <v>1E-3</v>
      </c>
      <c r="L50" s="20"/>
    </row>
    <row r="51" spans="1:18" x14ac:dyDescent="0.25">
      <c r="B51" s="7" t="s">
        <v>78</v>
      </c>
      <c r="C51" s="1"/>
      <c r="D51" s="1"/>
      <c r="E51" s="1"/>
      <c r="F51" s="19">
        <v>1.1999999999999999E-3</v>
      </c>
      <c r="G51" s="19">
        <v>1E-3</v>
      </c>
      <c r="H51" s="19">
        <v>1E-3</v>
      </c>
      <c r="I51" s="19">
        <v>1E-3</v>
      </c>
      <c r="J51" s="19">
        <v>1E-3</v>
      </c>
      <c r="K51" s="19">
        <v>1E-3</v>
      </c>
      <c r="L51" s="20"/>
    </row>
    <row r="52" spans="1:18" x14ac:dyDescent="0.25">
      <c r="B52" s="7" t="s">
        <v>80</v>
      </c>
      <c r="C52" s="1"/>
      <c r="D52" s="1"/>
      <c r="E52" s="1"/>
      <c r="F52" s="19">
        <v>1.1999999999999999E-3</v>
      </c>
      <c r="G52" s="19">
        <v>1E-3</v>
      </c>
      <c r="H52" s="19">
        <v>1E-3</v>
      </c>
      <c r="I52" s="19">
        <v>1E-3</v>
      </c>
      <c r="J52" s="19">
        <v>1E-3</v>
      </c>
      <c r="K52" s="19">
        <v>1E-3</v>
      </c>
      <c r="L52" s="20"/>
    </row>
    <row r="53" spans="1:18" x14ac:dyDescent="0.25">
      <c r="B53" s="7" t="s">
        <v>81</v>
      </c>
      <c r="C53" s="1"/>
      <c r="D53" s="1"/>
      <c r="E53" s="1"/>
      <c r="F53" s="19">
        <v>1.1999999999999999E-3</v>
      </c>
      <c r="G53" s="19">
        <v>1E-3</v>
      </c>
      <c r="H53" s="19">
        <v>1E-3</v>
      </c>
      <c r="I53" s="19">
        <v>1E-3</v>
      </c>
      <c r="J53" s="19">
        <v>1E-3</v>
      </c>
      <c r="K53" s="19">
        <v>1E-3</v>
      </c>
    </row>
    <row r="54" spans="1:18" x14ac:dyDescent="0.25">
      <c r="B54" s="7"/>
      <c r="C54" s="1"/>
      <c r="D54" s="1"/>
      <c r="E54" s="1"/>
      <c r="F54" s="34"/>
      <c r="G54" s="34"/>
      <c r="H54" s="34"/>
      <c r="I54" s="34"/>
      <c r="J54" s="34"/>
      <c r="K54" s="34"/>
    </row>
    <row r="55" spans="1:18" x14ac:dyDescent="0.25">
      <c r="A55" t="s">
        <v>255</v>
      </c>
      <c r="B55" s="11" t="s">
        <v>96</v>
      </c>
      <c r="C55" s="14">
        <f>'Operating '!C34</f>
        <v>175350</v>
      </c>
      <c r="D55" s="14">
        <f>'Operating '!D34</f>
        <v>184463</v>
      </c>
      <c r="E55" s="14">
        <f>'Operating '!E34</f>
        <v>314000</v>
      </c>
      <c r="F55" s="15">
        <f ca="1">F56*'Operating '!F9</f>
        <v>230922.75840000002</v>
      </c>
      <c r="G55" s="15">
        <f ca="1">G56*'Operating '!G9</f>
        <v>262469.41240384005</v>
      </c>
      <c r="H55" s="15">
        <f ca="1">H56*'Operating '!H9</f>
        <v>298451.95496110083</v>
      </c>
      <c r="I55" s="15">
        <f ca="1">I56*'Operating '!I9</f>
        <v>339026.59404283285</v>
      </c>
      <c r="J55" s="15">
        <f ca="1">J56*'Operating '!J9</f>
        <v>384800.43095046259</v>
      </c>
      <c r="K55" s="15">
        <f ca="1">K56*'Operating '!K9</f>
        <v>436482.26345810166</v>
      </c>
      <c r="L55" s="1"/>
    </row>
    <row r="56" spans="1:18" x14ac:dyDescent="0.25">
      <c r="B56" s="16" t="s">
        <v>108</v>
      </c>
      <c r="C56" s="21">
        <f>C55/'Operating '!C9</f>
        <v>9.5265922040475987E-3</v>
      </c>
      <c r="D56" s="21">
        <f>D55/'Operating '!D9</f>
        <v>8.962077947821499E-3</v>
      </c>
      <c r="E56" s="21">
        <f>E55/'Operating '!E9</f>
        <v>1.287782471394004E-2</v>
      </c>
      <c r="F56" s="18">
        <f t="shared" ref="F56:K56" ca="1" si="33">+OFFSET(F56,$C$4,)</f>
        <v>8.0000000000000002E-3</v>
      </c>
      <c r="G56" s="18">
        <f t="shared" ca="1" si="33"/>
        <v>8.0000000000000002E-3</v>
      </c>
      <c r="H56" s="18">
        <f t="shared" ca="1" si="33"/>
        <v>8.0000000000000002E-3</v>
      </c>
      <c r="I56" s="18">
        <f t="shared" ca="1" si="33"/>
        <v>8.0000000000000002E-3</v>
      </c>
      <c r="J56" s="18">
        <f t="shared" ca="1" si="33"/>
        <v>8.0000000000000002E-3</v>
      </c>
      <c r="K56" s="18">
        <f t="shared" ca="1" si="33"/>
        <v>8.0000000000000002E-3</v>
      </c>
      <c r="L56" s="1"/>
    </row>
    <row r="57" spans="1:18" x14ac:dyDescent="0.25">
      <c r="B57" s="7" t="s">
        <v>78</v>
      </c>
      <c r="C57" s="1"/>
      <c r="D57" s="1"/>
      <c r="E57" s="1"/>
      <c r="F57" s="19">
        <v>8.0000000000000002E-3</v>
      </c>
      <c r="G57" s="19">
        <v>8.0000000000000002E-3</v>
      </c>
      <c r="H57" s="19">
        <v>8.0000000000000002E-3</v>
      </c>
      <c r="I57" s="19">
        <v>8.0000000000000002E-3</v>
      </c>
      <c r="J57" s="19">
        <v>8.0000000000000002E-3</v>
      </c>
      <c r="K57" s="19">
        <v>8.0000000000000002E-3</v>
      </c>
      <c r="L57" s="20"/>
    </row>
    <row r="58" spans="1:18" x14ac:dyDescent="0.25">
      <c r="B58" s="7" t="s">
        <v>80</v>
      </c>
      <c r="C58" s="1"/>
      <c r="D58" s="1"/>
      <c r="E58" s="1"/>
      <c r="F58" s="19">
        <v>8.0000000000000002E-3</v>
      </c>
      <c r="G58" s="19">
        <v>8.0000000000000002E-3</v>
      </c>
      <c r="H58" s="19">
        <v>8.0000000000000002E-3</v>
      </c>
      <c r="I58" s="19">
        <v>8.0000000000000002E-3</v>
      </c>
      <c r="J58" s="19">
        <v>8.0000000000000002E-3</v>
      </c>
      <c r="K58" s="19">
        <v>8.0000000000000002E-3</v>
      </c>
      <c r="L58" s="20"/>
    </row>
    <row r="59" spans="1:18" x14ac:dyDescent="0.25">
      <c r="B59" s="7" t="s">
        <v>81</v>
      </c>
      <c r="C59" s="1"/>
      <c r="D59" s="1"/>
      <c r="E59" s="1"/>
      <c r="F59" s="19">
        <v>8.0000000000000002E-3</v>
      </c>
      <c r="G59" s="19">
        <v>8.0000000000000002E-3</v>
      </c>
      <c r="H59" s="19">
        <v>8.0000000000000002E-3</v>
      </c>
      <c r="I59" s="19">
        <v>8.0000000000000002E-3</v>
      </c>
      <c r="J59" s="19">
        <v>8.0000000000000002E-3</v>
      </c>
      <c r="K59" s="19">
        <v>8.0000000000000002E-3</v>
      </c>
      <c r="L59" s="20"/>
    </row>
    <row r="61" spans="1:18" x14ac:dyDescent="0.25">
      <c r="A61" t="s">
        <v>255</v>
      </c>
      <c r="B61" s="11" t="s">
        <v>97</v>
      </c>
      <c r="C61" s="14">
        <f>'Operating '!C35</f>
        <v>1421501</v>
      </c>
      <c r="D61" s="14">
        <f>'Operating '!D35</f>
        <v>1656851</v>
      </c>
      <c r="E61" s="14">
        <f>'Operating '!E35</f>
        <v>1666000</v>
      </c>
      <c r="F61" s="15">
        <f ca="1">F62*-'Operating '!F12</f>
        <v>2138922.0496800002</v>
      </c>
      <c r="G61" s="15">
        <f ca="1">G62*-'Operating '!G12</f>
        <v>2354350.6292624455</v>
      </c>
      <c r="H61" s="15">
        <f ca="1">H62*-'Operating '!H12</f>
        <v>2590749.5015342059</v>
      </c>
      <c r="I61" s="15">
        <f ca="1">I62*-'Operating '!I12</f>
        <v>2845916.3653683052</v>
      </c>
      <c r="J61" s="15">
        <f ca="1">J62*-'Operating '!J12</f>
        <v>3121212.4955469393</v>
      </c>
      <c r="K61" s="15">
        <f ca="1">K62*-'Operating '!K12</f>
        <v>3442071.8494891226</v>
      </c>
      <c r="L61" s="1"/>
    </row>
    <row r="62" spans="1:18" x14ac:dyDescent="0.25">
      <c r="B62" s="16" t="s">
        <v>122</v>
      </c>
      <c r="C62" s="18">
        <f>C61/-'Operating '!C12</f>
        <v>9.1975319186161017E-2</v>
      </c>
      <c r="D62" s="18">
        <f>D61/-'Operating '!D12</f>
        <v>0.1043834140314257</v>
      </c>
      <c r="E62" s="18">
        <f>E61/-'Operating '!E12</f>
        <v>9.1573682185455946E-2</v>
      </c>
      <c r="F62" s="18">
        <f t="shared" ref="F62:K62" ca="1" si="34">+OFFSET(F62,$C$4,)</f>
        <v>0.1</v>
      </c>
      <c r="G62" s="18">
        <f t="shared" ca="1" si="34"/>
        <v>9.7500000000000003E-2</v>
      </c>
      <c r="H62" s="18">
        <f t="shared" ca="1" si="34"/>
        <v>9.5000000000000001E-2</v>
      </c>
      <c r="I62" s="18">
        <f t="shared" ca="1" si="34"/>
        <v>9.2499999999999999E-2</v>
      </c>
      <c r="J62" s="18">
        <f t="shared" ca="1" si="34"/>
        <v>0.09</v>
      </c>
      <c r="K62" s="18">
        <f t="shared" ca="1" si="34"/>
        <v>8.7499999999999994E-2</v>
      </c>
      <c r="L62" s="1"/>
    </row>
    <row r="63" spans="1:18" x14ac:dyDescent="0.25">
      <c r="B63" s="7" t="s">
        <v>78</v>
      </c>
      <c r="C63" s="1"/>
      <c r="D63" s="1"/>
      <c r="E63" s="1"/>
      <c r="F63" s="19">
        <v>0.1</v>
      </c>
      <c r="G63" s="19">
        <f>F63+$L$63</f>
        <v>9.7500000000000003E-2</v>
      </c>
      <c r="H63" s="19">
        <f t="shared" ref="H63:K63" si="35">G63+$L$63</f>
        <v>9.5000000000000001E-2</v>
      </c>
      <c r="I63" s="19">
        <f t="shared" si="35"/>
        <v>9.2499999999999999E-2</v>
      </c>
      <c r="J63" s="19">
        <f>I63+$L$63</f>
        <v>0.09</v>
      </c>
      <c r="K63" s="19">
        <f t="shared" si="35"/>
        <v>8.7499999999999994E-2</v>
      </c>
      <c r="L63" s="20">
        <v>-2.5000000000000001E-3</v>
      </c>
      <c r="N63" s="136" t="s">
        <v>203</v>
      </c>
      <c r="O63" s="136"/>
      <c r="P63" s="136"/>
      <c r="Q63" s="136"/>
      <c r="R63" s="136"/>
    </row>
    <row r="64" spans="1:18" x14ac:dyDescent="0.25">
      <c r="B64" s="7" t="s">
        <v>80</v>
      </c>
      <c r="C64" s="1"/>
      <c r="D64" s="1"/>
      <c r="E64" s="1"/>
      <c r="F64" s="19">
        <v>0.104</v>
      </c>
      <c r="G64" s="19">
        <f>G63</f>
        <v>9.7500000000000003E-2</v>
      </c>
      <c r="H64" s="19">
        <f t="shared" ref="H64:K64" si="36">H63</f>
        <v>9.5000000000000001E-2</v>
      </c>
      <c r="I64" s="19">
        <f t="shared" si="36"/>
        <v>9.2499999999999999E-2</v>
      </c>
      <c r="J64" s="19">
        <f t="shared" si="36"/>
        <v>0.09</v>
      </c>
      <c r="K64" s="19">
        <f t="shared" si="36"/>
        <v>8.7499999999999994E-2</v>
      </c>
      <c r="L64" s="20"/>
    </row>
    <row r="65" spans="1:12" x14ac:dyDescent="0.25">
      <c r="B65" s="7" t="s">
        <v>81</v>
      </c>
      <c r="C65" s="1"/>
      <c r="D65" s="1"/>
      <c r="E65" s="1" t="s">
        <v>109</v>
      </c>
      <c r="F65" s="19">
        <v>0.104</v>
      </c>
      <c r="G65" s="19">
        <f>G63</f>
        <v>9.7500000000000003E-2</v>
      </c>
      <c r="H65" s="19">
        <f t="shared" ref="H65:K65" si="37">H63</f>
        <v>9.5000000000000001E-2</v>
      </c>
      <c r="I65" s="19">
        <f t="shared" si="37"/>
        <v>9.2499999999999999E-2</v>
      </c>
      <c r="J65" s="19">
        <f t="shared" si="37"/>
        <v>0.09</v>
      </c>
      <c r="K65" s="19">
        <f t="shared" si="37"/>
        <v>8.7499999999999994E-2</v>
      </c>
      <c r="L65" s="20"/>
    </row>
    <row r="66" spans="1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0"/>
    </row>
    <row r="67" spans="1:12" x14ac:dyDescent="0.25">
      <c r="A67" t="s">
        <v>255</v>
      </c>
      <c r="B67" s="11" t="s">
        <v>123</v>
      </c>
      <c r="C67" s="14">
        <f>'Operating '!C36</f>
        <v>232447</v>
      </c>
      <c r="D67" s="14">
        <f>'Operating '!D36</f>
        <v>303166</v>
      </c>
      <c r="E67" s="14">
        <f>'Operating '!E36</f>
        <v>316000</v>
      </c>
      <c r="F67" s="15">
        <f ca="1">F68*'Operating '!F9</f>
        <v>432980.17200000002</v>
      </c>
      <c r="G67" s="15">
        <f ca="1">G68*'Operating '!G9</f>
        <v>492130.14825720002</v>
      </c>
      <c r="H67" s="15">
        <f ca="1">H68*'Operating '!H9</f>
        <v>559597.41555206396</v>
      </c>
      <c r="I67" s="15">
        <f ca="1">I68*'Operating '!I9</f>
        <v>635674.86383031157</v>
      </c>
      <c r="J67" s="15">
        <f ca="1">J68*'Operating '!J9</f>
        <v>721500.80803211732</v>
      </c>
      <c r="K67" s="15">
        <f ca="1">K68*'Operating '!K9</f>
        <v>818404.24398394057</v>
      </c>
      <c r="L67" s="1"/>
    </row>
    <row r="68" spans="1:12" x14ac:dyDescent="0.25">
      <c r="B68" s="16" t="s">
        <v>108</v>
      </c>
      <c r="C68" s="18">
        <f>C67/'Operating '!C9</f>
        <v>1.2628615785881106E-2</v>
      </c>
      <c r="D68" s="18">
        <f>D67/'Operating '!D9</f>
        <v>1.4729226582725276E-2</v>
      </c>
      <c r="E68" s="18">
        <f>E67/'Operating '!E9</f>
        <v>1.2959849075175327E-2</v>
      </c>
      <c r="F68" s="18">
        <f t="shared" ref="F68:K68" ca="1" si="38">+OFFSET(F68,$C$4,)</f>
        <v>1.4999999999999999E-2</v>
      </c>
      <c r="G68" s="18">
        <f t="shared" ca="1" si="38"/>
        <v>1.4999999999999999E-2</v>
      </c>
      <c r="H68" s="18">
        <f t="shared" ca="1" si="38"/>
        <v>1.4999999999999999E-2</v>
      </c>
      <c r="I68" s="18">
        <f t="shared" ca="1" si="38"/>
        <v>1.4999999999999999E-2</v>
      </c>
      <c r="J68" s="18">
        <f t="shared" ca="1" si="38"/>
        <v>1.4999999999999999E-2</v>
      </c>
      <c r="K68" s="18">
        <f t="shared" ca="1" si="38"/>
        <v>1.4999999999999999E-2</v>
      </c>
      <c r="L68" s="1"/>
    </row>
    <row r="69" spans="1:12" x14ac:dyDescent="0.25">
      <c r="B69" s="7" t="s">
        <v>78</v>
      </c>
      <c r="C69" s="1"/>
      <c r="D69" s="1"/>
      <c r="E69" s="1"/>
      <c r="F69" s="19">
        <v>1.4999999999999999E-2</v>
      </c>
      <c r="G69" s="19">
        <v>1.4999999999999999E-2</v>
      </c>
      <c r="H69" s="19">
        <v>1.4999999999999999E-2</v>
      </c>
      <c r="I69" s="19">
        <v>1.4999999999999999E-2</v>
      </c>
      <c r="J69" s="19">
        <v>1.4999999999999999E-2</v>
      </c>
      <c r="K69" s="19">
        <v>1.4999999999999999E-2</v>
      </c>
      <c r="L69" s="20"/>
    </row>
    <row r="70" spans="1:12" x14ac:dyDescent="0.25">
      <c r="B70" s="7" t="s">
        <v>80</v>
      </c>
      <c r="C70" s="1"/>
      <c r="D70" s="1"/>
      <c r="E70" s="1"/>
      <c r="F70" s="19">
        <v>1.4999999999999999E-2</v>
      </c>
      <c r="G70" s="19">
        <v>1.4999999999999999E-2</v>
      </c>
      <c r="H70" s="19">
        <v>1.4999999999999999E-2</v>
      </c>
      <c r="I70" s="19">
        <v>1.4999999999999999E-2</v>
      </c>
      <c r="J70" s="19">
        <v>1.4999999999999999E-2</v>
      </c>
      <c r="K70" s="19">
        <v>1.4999999999999999E-2</v>
      </c>
      <c r="L70" s="20"/>
    </row>
    <row r="71" spans="1:12" x14ac:dyDescent="0.25">
      <c r="B71" s="7" t="s">
        <v>81</v>
      </c>
      <c r="C71" s="1"/>
      <c r="D71" s="1"/>
      <c r="E71" s="1"/>
      <c r="F71" s="19">
        <v>1.4999999999999999E-2</v>
      </c>
      <c r="G71" s="19">
        <v>1.4999999999999999E-2</v>
      </c>
      <c r="H71" s="19">
        <v>1.4999999999999999E-2</v>
      </c>
      <c r="I71" s="19">
        <v>1.4999999999999999E-2</v>
      </c>
      <c r="J71" s="19">
        <v>1.4999999999999999E-2</v>
      </c>
      <c r="K71" s="19">
        <v>1.4999999999999999E-2</v>
      </c>
      <c r="L71" s="20"/>
    </row>
    <row r="73" spans="1:12" x14ac:dyDescent="0.25">
      <c r="A73" t="s">
        <v>255</v>
      </c>
      <c r="B73" s="11" t="s">
        <v>115</v>
      </c>
      <c r="C73" s="14">
        <f>'Operating '!C39</f>
        <v>3442720</v>
      </c>
      <c r="D73" s="14">
        <f>'Operating '!D39</f>
        <v>3622332</v>
      </c>
      <c r="E73" s="14">
        <f>'Operating '!E39</f>
        <v>5099000</v>
      </c>
      <c r="F73" s="15">
        <f ca="1">F74*-'Operating '!F12</f>
        <v>5347305.1242000004</v>
      </c>
      <c r="G73" s="15">
        <f ca="1">G74*-'Operating '!G12</f>
        <v>6036796.485288321</v>
      </c>
      <c r="H73" s="15">
        <f ca="1">H74*-'Operating '!H12</f>
        <v>6817761.8461426469</v>
      </c>
      <c r="I73" s="15">
        <f ca="1">I74*-'Operating '!I12</f>
        <v>7691665.8523467705</v>
      </c>
      <c r="J73" s="15">
        <f ca="1">J74*-'Operating '!J12</f>
        <v>8670034.7098526098</v>
      </c>
      <c r="K73" s="15">
        <f ca="1">K74*-'Operating '!K12</f>
        <v>9834490.9985403512</v>
      </c>
      <c r="L73" s="1"/>
    </row>
    <row r="74" spans="1:12" x14ac:dyDescent="0.25">
      <c r="B74" s="16" t="s">
        <v>122</v>
      </c>
      <c r="C74" s="18">
        <f>C73/-'Operating '!C12</f>
        <v>0.22275416680577803</v>
      </c>
      <c r="D74" s="18">
        <f>D73/-'Operating '!D12</f>
        <v>0.22821085355006715</v>
      </c>
      <c r="E74" s="18">
        <f>E73/-'Operating '!E12</f>
        <v>0.28027263233111638</v>
      </c>
      <c r="F74" s="18">
        <f t="shared" ref="F74:K74" ca="1" si="39">+OFFSET(F74,$C$4,)</f>
        <v>0.25</v>
      </c>
      <c r="G74" s="18">
        <f t="shared" ca="1" si="39"/>
        <v>0.25</v>
      </c>
      <c r="H74" s="18">
        <f t="shared" ca="1" si="39"/>
        <v>0.25</v>
      </c>
      <c r="I74" s="18">
        <f t="shared" ca="1" si="39"/>
        <v>0.25</v>
      </c>
      <c r="J74" s="18">
        <f t="shared" ca="1" si="39"/>
        <v>0.25</v>
      </c>
      <c r="K74" s="18">
        <f t="shared" ca="1" si="39"/>
        <v>0.25</v>
      </c>
      <c r="L74" s="1"/>
    </row>
    <row r="75" spans="1:12" x14ac:dyDescent="0.25">
      <c r="B75" s="7" t="s">
        <v>78</v>
      </c>
      <c r="C75" s="1"/>
      <c r="D75" s="1"/>
      <c r="E75" s="1"/>
      <c r="F75" s="19">
        <v>0.25</v>
      </c>
      <c r="G75" s="19">
        <v>0.25</v>
      </c>
      <c r="H75" s="19">
        <v>0.25</v>
      </c>
      <c r="I75" s="19">
        <v>0.25</v>
      </c>
      <c r="J75" s="19">
        <v>0.25</v>
      </c>
      <c r="K75" s="19">
        <v>0.25</v>
      </c>
      <c r="L75" s="20"/>
    </row>
    <row r="76" spans="1:12" x14ac:dyDescent="0.25">
      <c r="B76" s="7" t="s">
        <v>80</v>
      </c>
      <c r="C76" s="1"/>
      <c r="D76" s="1"/>
      <c r="E76" s="1"/>
      <c r="F76" s="19">
        <v>0.25</v>
      </c>
      <c r="G76" s="19">
        <v>0.25</v>
      </c>
      <c r="H76" s="19">
        <v>0.25</v>
      </c>
      <c r="I76" s="19">
        <v>0.25</v>
      </c>
      <c r="J76" s="19">
        <v>0.25</v>
      </c>
      <c r="K76" s="19">
        <v>0.25</v>
      </c>
      <c r="L76" s="20"/>
    </row>
    <row r="77" spans="1:12" x14ac:dyDescent="0.25">
      <c r="B77" s="7" t="s">
        <v>81</v>
      </c>
      <c r="C77" s="1"/>
      <c r="D77" s="1"/>
      <c r="E77" s="1"/>
      <c r="F77" s="19">
        <v>0.25</v>
      </c>
      <c r="G77" s="19">
        <v>0.25</v>
      </c>
      <c r="H77" s="19">
        <v>0.25</v>
      </c>
      <c r="I77" s="19">
        <v>0.25</v>
      </c>
      <c r="J77" s="19">
        <v>0.25</v>
      </c>
      <c r="K77" s="19">
        <v>0.25</v>
      </c>
      <c r="L77" s="20"/>
    </row>
    <row r="79" spans="1:12" x14ac:dyDescent="0.25">
      <c r="A79" t="s">
        <v>255</v>
      </c>
      <c r="B79" s="11" t="s">
        <v>116</v>
      </c>
      <c r="C79" s="14">
        <f>'Operating '!C40</f>
        <v>304293</v>
      </c>
      <c r="D79" s="14">
        <f>'Operating '!D40</f>
        <v>298869</v>
      </c>
      <c r="E79" s="14">
        <f>'Operating '!E40</f>
        <v>352000</v>
      </c>
      <c r="F79" s="15">
        <f ca="1">F80*'Operating '!F9</f>
        <v>490710.86160000006</v>
      </c>
      <c r="G79" s="15">
        <f ca="1">G80*'Operating '!G9</f>
        <v>557747.50135816017</v>
      </c>
      <c r="H79" s="15">
        <f ca="1">H80*'Operating '!H9</f>
        <v>634210.40429233923</v>
      </c>
      <c r="I79" s="15">
        <f ca="1">I80*'Operating '!I9</f>
        <v>720431.51234101981</v>
      </c>
      <c r="J79" s="15">
        <f ca="1">J80*'Operating '!J9</f>
        <v>817700.91576973302</v>
      </c>
      <c r="K79" s="15">
        <f ca="1">K80*'Operating '!K9</f>
        <v>927524.80984846607</v>
      </c>
      <c r="L79" s="1"/>
    </row>
    <row r="80" spans="1:12" x14ac:dyDescent="0.25">
      <c r="B80" s="16" t="s">
        <v>108</v>
      </c>
      <c r="C80" s="18">
        <f>C79/'Operating '!C9</f>
        <v>1.6531937961484208E-2</v>
      </c>
      <c r="D80" s="18">
        <f>D79/'Operating '!D9</f>
        <v>1.4520458163357767E-2</v>
      </c>
      <c r="E80" s="18">
        <f>E79/'Operating '!E9</f>
        <v>1.4436287577410492E-2</v>
      </c>
      <c r="F80" s="18">
        <f t="shared" ref="F80:K80" ca="1" si="40">+OFFSET(F80,$C$4,)</f>
        <v>1.7000000000000001E-2</v>
      </c>
      <c r="G80" s="18">
        <f t="shared" ca="1" si="40"/>
        <v>1.7000000000000001E-2</v>
      </c>
      <c r="H80" s="18">
        <f t="shared" ca="1" si="40"/>
        <v>1.7000000000000001E-2</v>
      </c>
      <c r="I80" s="18">
        <f t="shared" ca="1" si="40"/>
        <v>1.7000000000000001E-2</v>
      </c>
      <c r="J80" s="18">
        <f t="shared" ca="1" si="40"/>
        <v>1.7000000000000001E-2</v>
      </c>
      <c r="K80" s="18">
        <f t="shared" ca="1" si="40"/>
        <v>1.7000000000000001E-2</v>
      </c>
      <c r="L80" s="1"/>
    </row>
    <row r="81" spans="1:12" x14ac:dyDescent="0.25">
      <c r="B81" s="7" t="s">
        <v>78</v>
      </c>
      <c r="C81" s="1"/>
      <c r="D81" s="1"/>
      <c r="E81" s="1"/>
      <c r="F81" s="19">
        <v>1.7000000000000001E-2</v>
      </c>
      <c r="G81" s="19">
        <v>1.7000000000000001E-2</v>
      </c>
      <c r="H81" s="19">
        <v>1.7000000000000001E-2</v>
      </c>
      <c r="I81" s="19">
        <v>1.7000000000000001E-2</v>
      </c>
      <c r="J81" s="19">
        <v>1.7000000000000001E-2</v>
      </c>
      <c r="K81" s="19">
        <v>1.7000000000000001E-2</v>
      </c>
      <c r="L81" s="20"/>
    </row>
    <row r="82" spans="1:12" x14ac:dyDescent="0.25">
      <c r="B82" s="7" t="s">
        <v>80</v>
      </c>
      <c r="C82" s="1"/>
      <c r="D82" s="1"/>
      <c r="E82" s="1"/>
      <c r="F82" s="19">
        <v>1.7000000000000001E-2</v>
      </c>
      <c r="G82" s="19">
        <v>1.7000000000000001E-2</v>
      </c>
      <c r="H82" s="19">
        <v>1.7000000000000001E-2</v>
      </c>
      <c r="I82" s="19">
        <v>1.7000000000000001E-2</v>
      </c>
      <c r="J82" s="19">
        <v>1.7000000000000001E-2</v>
      </c>
      <c r="K82" s="19">
        <v>1.7000000000000001E-2</v>
      </c>
      <c r="L82" s="20"/>
    </row>
    <row r="83" spans="1:12" x14ac:dyDescent="0.25">
      <c r="B83" s="7" t="s">
        <v>81</v>
      </c>
      <c r="C83" s="1"/>
      <c r="D83" s="1"/>
      <c r="E83" s="1"/>
      <c r="F83" s="19">
        <v>1.7000000000000001E-2</v>
      </c>
      <c r="G83" s="19">
        <v>1.7000000000000001E-2</v>
      </c>
      <c r="H83" s="19">
        <v>1.7000000000000001E-2</v>
      </c>
      <c r="I83" s="19">
        <v>1.7000000000000001E-2</v>
      </c>
      <c r="J83" s="19">
        <v>1.7000000000000001E-2</v>
      </c>
      <c r="K83" s="19">
        <v>1.7000000000000001E-2</v>
      </c>
      <c r="L83" s="20"/>
    </row>
    <row r="85" spans="1:12" x14ac:dyDescent="0.25">
      <c r="A85" t="s">
        <v>255</v>
      </c>
      <c r="B85" s="11" t="s">
        <v>117</v>
      </c>
      <c r="C85" s="14">
        <f>'Operating '!C41</f>
        <v>93972</v>
      </c>
      <c r="D85" s="14">
        <f>'Operating '!D41</f>
        <v>92361</v>
      </c>
      <c r="E85" s="14">
        <f>'Operating '!E41</f>
        <v>97000</v>
      </c>
      <c r="F85" s="15">
        <f ca="1">F86*'Operating '!F9</f>
        <v>144326.72400000002</v>
      </c>
      <c r="G85" s="15">
        <f ca="1">G86*'Operating '!G9</f>
        <v>164043.38275240004</v>
      </c>
      <c r="H85" s="15">
        <f ca="1">H86*'Operating '!H9</f>
        <v>186532.47185068802</v>
      </c>
      <c r="I85" s="15">
        <f ca="1">I86*'Operating '!I9</f>
        <v>211891.62127677054</v>
      </c>
      <c r="J85" s="15">
        <f ca="1">J86*'Operating '!J9</f>
        <v>240500.26934403912</v>
      </c>
      <c r="K85" s="15">
        <f ca="1">K86*'Operating '!K9</f>
        <v>272801.41466131352</v>
      </c>
      <c r="L85" s="1"/>
    </row>
    <row r="86" spans="1:12" x14ac:dyDescent="0.25">
      <c r="B86" s="16" t="s">
        <v>108</v>
      </c>
      <c r="C86" s="18">
        <f>C85/'Operating '!C9</f>
        <v>5.1054058887867746E-3</v>
      </c>
      <c r="D86" s="18">
        <f>D85/'Operating '!D9</f>
        <v>4.4873306914597587E-3</v>
      </c>
      <c r="E86" s="18">
        <f>E85/'Operating '!E9</f>
        <v>3.9781815199114133E-3</v>
      </c>
      <c r="F86" s="18">
        <f t="shared" ref="F86:K86" ca="1" si="41">+OFFSET(F86,$C$4,)</f>
        <v>5.0000000000000001E-3</v>
      </c>
      <c r="G86" s="18">
        <f t="shared" ca="1" si="41"/>
        <v>5.0000000000000001E-3</v>
      </c>
      <c r="H86" s="18">
        <f t="shared" ca="1" si="41"/>
        <v>5.0000000000000001E-3</v>
      </c>
      <c r="I86" s="18">
        <f t="shared" ca="1" si="41"/>
        <v>5.0000000000000001E-3</v>
      </c>
      <c r="J86" s="18">
        <f t="shared" ca="1" si="41"/>
        <v>5.0000000000000001E-3</v>
      </c>
      <c r="K86" s="18">
        <f t="shared" ca="1" si="41"/>
        <v>5.0000000000000001E-3</v>
      </c>
      <c r="L86" s="1"/>
    </row>
    <row r="87" spans="1:12" x14ac:dyDescent="0.25">
      <c r="B87" s="7" t="s">
        <v>78</v>
      </c>
      <c r="C87" s="1"/>
      <c r="D87" s="1"/>
      <c r="E87" s="1"/>
      <c r="F87" s="19">
        <v>5.0000000000000001E-3</v>
      </c>
      <c r="G87" s="19">
        <v>5.0000000000000001E-3</v>
      </c>
      <c r="H87" s="19">
        <v>5.0000000000000001E-3</v>
      </c>
      <c r="I87" s="19">
        <v>5.0000000000000001E-3</v>
      </c>
      <c r="J87" s="19">
        <v>5.0000000000000001E-3</v>
      </c>
      <c r="K87" s="19">
        <v>5.0000000000000001E-3</v>
      </c>
      <c r="L87" s="20"/>
    </row>
    <row r="88" spans="1:12" x14ac:dyDescent="0.25">
      <c r="B88" s="7" t="s">
        <v>80</v>
      </c>
      <c r="C88" s="1"/>
      <c r="D88" s="1"/>
      <c r="E88" s="1"/>
      <c r="F88" s="19">
        <v>5.0000000000000001E-3</v>
      </c>
      <c r="G88" s="19">
        <v>5.0000000000000001E-3</v>
      </c>
      <c r="H88" s="19">
        <v>5.0000000000000001E-3</v>
      </c>
      <c r="I88" s="19">
        <v>5.0000000000000001E-3</v>
      </c>
      <c r="J88" s="19">
        <v>5.0000000000000001E-3</v>
      </c>
      <c r="K88" s="19">
        <v>5.0000000000000001E-3</v>
      </c>
      <c r="L88" s="20"/>
    </row>
    <row r="89" spans="1:12" x14ac:dyDescent="0.25">
      <c r="B89" s="7" t="s">
        <v>81</v>
      </c>
      <c r="C89" s="1"/>
      <c r="D89" s="1"/>
      <c r="E89" s="1" t="s">
        <v>109</v>
      </c>
      <c r="F89" s="19">
        <v>5.0000000000000001E-3</v>
      </c>
      <c r="G89" s="19">
        <v>5.0000000000000001E-3</v>
      </c>
      <c r="H89" s="19">
        <v>5.0000000000000001E-3</v>
      </c>
      <c r="I89" s="19">
        <v>5.0000000000000001E-3</v>
      </c>
      <c r="J89" s="19">
        <v>5.0000000000000001E-3</v>
      </c>
      <c r="K89" s="19">
        <v>5.0000000000000001E-3</v>
      </c>
      <c r="L89" s="20"/>
    </row>
    <row r="90" spans="1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0"/>
    </row>
    <row r="91" spans="1:12" x14ac:dyDescent="0.25">
      <c r="A91" t="s">
        <v>255</v>
      </c>
      <c r="B91" s="11" t="s">
        <v>118</v>
      </c>
      <c r="C91" s="14">
        <f>'Operating '!C42</f>
        <v>-7811</v>
      </c>
      <c r="D91" s="14">
        <f>'Operating '!D42</f>
        <v>-175403</v>
      </c>
      <c r="E91" s="14">
        <f>'Operating '!E42</f>
        <v>-282000</v>
      </c>
      <c r="F91" s="15">
        <f ca="1">F92*-'Operating '!F9</f>
        <v>-230922.75840000002</v>
      </c>
      <c r="G91" s="15">
        <f ca="1">G92*-'Operating '!G9</f>
        <v>-262469.41240384005</v>
      </c>
      <c r="H91" s="15">
        <f ca="1">H92*-'Operating '!H9</f>
        <v>-298451.95496110083</v>
      </c>
      <c r="I91" s="15">
        <f ca="1">I92*-'Operating '!I9</f>
        <v>-339026.59404283285</v>
      </c>
      <c r="J91" s="15">
        <f ca="1">J92*-'Operating '!J9</f>
        <v>-384800.43095046259</v>
      </c>
      <c r="K91" s="15">
        <f ca="1">K92*-'Operating '!K9</f>
        <v>-436482.26345810166</v>
      </c>
      <c r="L91" s="1"/>
    </row>
    <row r="92" spans="1:12" x14ac:dyDescent="0.25">
      <c r="B92" s="16" t="s">
        <v>108</v>
      </c>
      <c r="C92" s="18">
        <f>C91/-'Operating '!C9</f>
        <v>4.2436391049795148E-4</v>
      </c>
      <c r="D92" s="18">
        <f>D91/-'Operating '!D9</f>
        <v>8.5219006428483464E-3</v>
      </c>
      <c r="E92" s="18">
        <f>E91/-'Operating '!E9</f>
        <v>1.156543493417545E-2</v>
      </c>
      <c r="F92" s="18">
        <f t="shared" ref="F92:K92" ca="1" si="42">+OFFSET(F92,$C$4,)</f>
        <v>8.0000000000000002E-3</v>
      </c>
      <c r="G92" s="18">
        <f t="shared" ca="1" si="42"/>
        <v>8.0000000000000002E-3</v>
      </c>
      <c r="H92" s="18">
        <f t="shared" ca="1" si="42"/>
        <v>8.0000000000000002E-3</v>
      </c>
      <c r="I92" s="18">
        <f t="shared" ca="1" si="42"/>
        <v>8.0000000000000002E-3</v>
      </c>
      <c r="J92" s="18">
        <f t="shared" ca="1" si="42"/>
        <v>8.0000000000000002E-3</v>
      </c>
      <c r="K92" s="18">
        <f t="shared" ca="1" si="42"/>
        <v>8.0000000000000002E-3</v>
      </c>
      <c r="L92" s="1"/>
    </row>
    <row r="93" spans="1:12" x14ac:dyDescent="0.25">
      <c r="B93" s="7" t="s">
        <v>78</v>
      </c>
      <c r="C93" s="1"/>
      <c r="D93" s="1"/>
      <c r="E93" s="1"/>
      <c r="F93" s="19">
        <v>8.0000000000000002E-3</v>
      </c>
      <c r="G93" s="19">
        <v>8.0000000000000002E-3</v>
      </c>
      <c r="H93" s="19">
        <v>8.0000000000000002E-3</v>
      </c>
      <c r="I93" s="19">
        <v>8.0000000000000002E-3</v>
      </c>
      <c r="J93" s="19">
        <v>8.0000000000000002E-3</v>
      </c>
      <c r="K93" s="19">
        <v>8.0000000000000002E-3</v>
      </c>
      <c r="L93" s="20"/>
    </row>
    <row r="94" spans="1:12" x14ac:dyDescent="0.25">
      <c r="B94" s="7" t="s">
        <v>80</v>
      </c>
      <c r="C94" s="1"/>
      <c r="D94" s="1"/>
      <c r="E94" s="1"/>
      <c r="F94" s="19">
        <v>8.0000000000000002E-3</v>
      </c>
      <c r="G94" s="19">
        <v>8.0000000000000002E-3</v>
      </c>
      <c r="H94" s="19">
        <v>8.0000000000000002E-3</v>
      </c>
      <c r="I94" s="19">
        <v>8.0000000000000002E-3</v>
      </c>
      <c r="J94" s="19">
        <v>8.0000000000000002E-3</v>
      </c>
      <c r="K94" s="19">
        <v>8.0000000000000002E-3</v>
      </c>
      <c r="L94" s="20"/>
    </row>
    <row r="95" spans="1:12" x14ac:dyDescent="0.25">
      <c r="B95" s="7" t="s">
        <v>81</v>
      </c>
      <c r="C95" s="1"/>
      <c r="D95" s="1"/>
      <c r="E95" s="1"/>
      <c r="F95" s="19">
        <v>8.0000000000000002E-3</v>
      </c>
      <c r="G95" s="19">
        <v>8.0000000000000002E-3</v>
      </c>
      <c r="H95" s="19">
        <v>8.0000000000000002E-3</v>
      </c>
      <c r="I95" s="19">
        <v>8.0000000000000002E-3</v>
      </c>
      <c r="J95" s="19">
        <v>8.0000000000000002E-3</v>
      </c>
      <c r="K95" s="19">
        <v>8.0000000000000002E-3</v>
      </c>
      <c r="L95" s="20"/>
    </row>
    <row r="97" spans="1:12" x14ac:dyDescent="0.25">
      <c r="A97" t="s">
        <v>255</v>
      </c>
      <c r="B97" s="11" t="s">
        <v>119</v>
      </c>
      <c r="C97" s="14">
        <f>'Operating '!C43</f>
        <v>-341717</v>
      </c>
      <c r="D97" s="14">
        <f>'Operating '!D43</f>
        <v>-128936</v>
      </c>
      <c r="E97" s="14">
        <f>'Operating '!E43</f>
        <v>-203000</v>
      </c>
      <c r="F97" s="15">
        <f ca="1">F98*-'Operating '!F9</f>
        <v>-173192.06880000001</v>
      </c>
      <c r="G97" s="15">
        <f ca="1">G98*-'Operating '!G9</f>
        <v>-196852.05930288002</v>
      </c>
      <c r="H97" s="15">
        <f ca="1">H98*-'Operating '!H9</f>
        <v>-223838.96622082562</v>
      </c>
      <c r="I97" s="15">
        <f ca="1">I98*-'Operating '!I9</f>
        <v>-254269.94553212464</v>
      </c>
      <c r="J97" s="15">
        <f ca="1">J98*-'Operating '!J9</f>
        <v>-288600.32321284694</v>
      </c>
      <c r="K97" s="15">
        <f ca="1">K98*-'Operating '!K9</f>
        <v>-327361.69759357622</v>
      </c>
      <c r="L97" s="1"/>
    </row>
    <row r="98" spans="1:12" x14ac:dyDescent="0.25">
      <c r="B98" s="16" t="s">
        <v>108</v>
      </c>
      <c r="C98" s="18">
        <f>C97/-'Operating '!C9</f>
        <v>1.8565146895868453E-2</v>
      </c>
      <c r="D98" s="18">
        <f>D97/-'Operating '!D9</f>
        <v>6.2643157830042486E-3</v>
      </c>
      <c r="E98" s="18">
        <f>E97/-'Operating '!E9</f>
        <v>8.3254726653816183E-3</v>
      </c>
      <c r="F98" s="18">
        <f t="shared" ref="F98:K98" ca="1" si="43">+OFFSET(F98,$C$4,)</f>
        <v>6.0000000000000001E-3</v>
      </c>
      <c r="G98" s="18">
        <f t="shared" ca="1" si="43"/>
        <v>6.0000000000000001E-3</v>
      </c>
      <c r="H98" s="18">
        <f t="shared" ca="1" si="43"/>
        <v>6.0000000000000001E-3</v>
      </c>
      <c r="I98" s="18">
        <f t="shared" ca="1" si="43"/>
        <v>6.0000000000000001E-3</v>
      </c>
      <c r="J98" s="18">
        <f t="shared" ca="1" si="43"/>
        <v>6.0000000000000001E-3</v>
      </c>
      <c r="K98" s="18">
        <f t="shared" ca="1" si="43"/>
        <v>6.0000000000000001E-3</v>
      </c>
      <c r="L98" s="1"/>
    </row>
    <row r="99" spans="1:12" x14ac:dyDescent="0.25">
      <c r="B99" s="7" t="s">
        <v>78</v>
      </c>
      <c r="C99" s="1"/>
      <c r="D99" s="1"/>
      <c r="E99" s="1"/>
      <c r="F99" s="19">
        <v>6.0000000000000001E-3</v>
      </c>
      <c r="G99" s="19">
        <v>6.0000000000000001E-3</v>
      </c>
      <c r="H99" s="19">
        <v>6.0000000000000001E-3</v>
      </c>
      <c r="I99" s="19">
        <v>6.0000000000000001E-3</v>
      </c>
      <c r="J99" s="19">
        <v>6.0000000000000001E-3</v>
      </c>
      <c r="K99" s="19">
        <v>6.0000000000000001E-3</v>
      </c>
      <c r="L99" s="20"/>
    </row>
    <row r="100" spans="1:12" x14ac:dyDescent="0.25">
      <c r="B100" s="7" t="s">
        <v>80</v>
      </c>
      <c r="C100" s="1"/>
      <c r="D100" s="1"/>
      <c r="E100" s="1"/>
      <c r="F100" s="19">
        <v>6.0000000000000001E-3</v>
      </c>
      <c r="G100" s="19">
        <v>6.0000000000000001E-3</v>
      </c>
      <c r="H100" s="19">
        <v>6.0000000000000001E-3</v>
      </c>
      <c r="I100" s="19">
        <v>6.0000000000000001E-3</v>
      </c>
      <c r="J100" s="19">
        <v>6.0000000000000001E-3</v>
      </c>
      <c r="K100" s="19">
        <v>6.0000000000000001E-3</v>
      </c>
      <c r="L100" s="20"/>
    </row>
    <row r="101" spans="1:12" x14ac:dyDescent="0.25">
      <c r="B101" s="7" t="s">
        <v>81</v>
      </c>
      <c r="C101" s="1"/>
      <c r="D101" s="1"/>
      <c r="E101" s="1"/>
      <c r="F101" s="19">
        <v>6.0000000000000001E-3</v>
      </c>
      <c r="G101" s="19">
        <v>6.0000000000000001E-3</v>
      </c>
      <c r="H101" s="19">
        <v>6.0000000000000001E-3</v>
      </c>
      <c r="I101" s="19">
        <v>6.0000000000000001E-3</v>
      </c>
      <c r="J101" s="19">
        <v>6.0000000000000001E-3</v>
      </c>
      <c r="K101" s="19">
        <v>6.0000000000000001E-3</v>
      </c>
      <c r="L101" s="20"/>
    </row>
    <row r="103" spans="1:12" x14ac:dyDescent="0.25">
      <c r="A103" t="s">
        <v>255</v>
      </c>
      <c r="B103" s="11" t="s">
        <v>120</v>
      </c>
      <c r="C103" s="14">
        <f>'Operating '!C44</f>
        <v>-287066</v>
      </c>
      <c r="D103" s="14">
        <f>'Operating '!D44</f>
        <v>-325924</v>
      </c>
      <c r="E103" s="14">
        <f>'Operating '!E44</f>
        <v>-386000</v>
      </c>
      <c r="F103" s="15">
        <f ca="1">F104*-'Operating '!F9</f>
        <v>-461845.51680000004</v>
      </c>
      <c r="G103" s="15">
        <f ca="1">G104*-'Operating '!G9</f>
        <v>-524938.8248076801</v>
      </c>
      <c r="H103" s="15">
        <f ca="1">H104*-'Operating '!H9</f>
        <v>-596903.90992220165</v>
      </c>
      <c r="I103" s="15">
        <f ca="1">I104*-'Operating '!I9</f>
        <v>-678053.18808566569</v>
      </c>
      <c r="J103" s="15">
        <f ca="1">J104*-'Operating '!J9</f>
        <v>-769600.86190092517</v>
      </c>
      <c r="K103" s="15">
        <f ca="1">K104*-'Operating '!K9</f>
        <v>-872964.52691620332</v>
      </c>
      <c r="L103" s="1"/>
    </row>
    <row r="104" spans="1:12" x14ac:dyDescent="0.25">
      <c r="B104" s="16" t="s">
        <v>108</v>
      </c>
      <c r="C104" s="18">
        <f>C103/-'Operating '!C9</f>
        <v>1.5596012076687355E-2</v>
      </c>
      <c r="D104" s="18">
        <f>D103/-'Operating '!D9</f>
        <v>1.5834916991839958E-2</v>
      </c>
      <c r="E104" s="18">
        <f>E103/-'Operating '!E9</f>
        <v>1.5830701718410368E-2</v>
      </c>
      <c r="F104" s="18">
        <f t="shared" ref="F104:K104" ca="1" si="44">+OFFSET(F104,$C$4,)</f>
        <v>1.6E-2</v>
      </c>
      <c r="G104" s="18">
        <f t="shared" ca="1" si="44"/>
        <v>1.6E-2</v>
      </c>
      <c r="H104" s="18">
        <f t="shared" ca="1" si="44"/>
        <v>1.6E-2</v>
      </c>
      <c r="I104" s="18">
        <f t="shared" ca="1" si="44"/>
        <v>1.6E-2</v>
      </c>
      <c r="J104" s="18">
        <f t="shared" ca="1" si="44"/>
        <v>1.6E-2</v>
      </c>
      <c r="K104" s="18">
        <f t="shared" ca="1" si="44"/>
        <v>1.6E-2</v>
      </c>
      <c r="L104" s="1"/>
    </row>
    <row r="105" spans="1:12" x14ac:dyDescent="0.25">
      <c r="B105" s="7" t="s">
        <v>78</v>
      </c>
      <c r="C105" s="1"/>
      <c r="D105" s="1"/>
      <c r="E105" s="1"/>
      <c r="F105" s="19">
        <v>1.6E-2</v>
      </c>
      <c r="G105" s="19">
        <v>1.6E-2</v>
      </c>
      <c r="H105" s="19">
        <v>1.6E-2</v>
      </c>
      <c r="I105" s="19">
        <v>1.6E-2</v>
      </c>
      <c r="J105" s="19">
        <v>1.6E-2</v>
      </c>
      <c r="K105" s="19">
        <v>1.6E-2</v>
      </c>
      <c r="L105" s="20"/>
    </row>
    <row r="106" spans="1:12" x14ac:dyDescent="0.25">
      <c r="B106" s="7" t="s">
        <v>80</v>
      </c>
      <c r="C106" s="1"/>
      <c r="D106" s="1"/>
      <c r="E106" s="1"/>
      <c r="F106" s="19">
        <v>1.6E-2</v>
      </c>
      <c r="G106" s="19">
        <v>1.6E-2</v>
      </c>
      <c r="H106" s="19">
        <v>1.6E-2</v>
      </c>
      <c r="I106" s="19">
        <v>1.6E-2</v>
      </c>
      <c r="J106" s="19">
        <v>1.6E-2</v>
      </c>
      <c r="K106" s="19">
        <v>1.6E-2</v>
      </c>
      <c r="L106" s="20"/>
    </row>
    <row r="107" spans="1:12" x14ac:dyDescent="0.25">
      <c r="B107" s="7" t="s">
        <v>81</v>
      </c>
      <c r="C107" s="1"/>
      <c r="D107" s="1"/>
      <c r="E107" s="1"/>
      <c r="F107" s="19">
        <v>1.6E-2</v>
      </c>
      <c r="G107" s="19">
        <v>1.6E-2</v>
      </c>
      <c r="H107" s="19">
        <v>1.6E-2</v>
      </c>
      <c r="I107" s="19">
        <v>1.6E-2</v>
      </c>
      <c r="J107" s="19">
        <v>1.6E-2</v>
      </c>
      <c r="K107" s="19">
        <v>1.6E-2</v>
      </c>
      <c r="L107" s="20"/>
    </row>
    <row r="109" spans="1:12" x14ac:dyDescent="0.25">
      <c r="A109" t="s">
        <v>255</v>
      </c>
      <c r="B109" s="11" t="s">
        <v>121</v>
      </c>
      <c r="C109" s="14">
        <f>'Operating '!C45</f>
        <v>266709</v>
      </c>
      <c r="D109" s="14">
        <f>'Operating '!D45</f>
        <v>418681</v>
      </c>
      <c r="E109" s="14">
        <f>'Operating '!E45</f>
        <v>526000</v>
      </c>
      <c r="F109" s="15">
        <f ca="1">F110*'Operating '!F9</f>
        <v>577306.89600000007</v>
      </c>
      <c r="G109" s="15">
        <f ca="1">G110*'Operating '!G9</f>
        <v>656173.53100960015</v>
      </c>
      <c r="H109" s="15">
        <f ca="1">H110*'Operating '!H9</f>
        <v>746129.88740275207</v>
      </c>
      <c r="I109" s="15">
        <f ca="1">I110*'Operating '!I9</f>
        <v>847566.48510708218</v>
      </c>
      <c r="J109" s="15">
        <f ca="1">J110*'Operating '!J9</f>
        <v>962001.07737615646</v>
      </c>
      <c r="K109" s="15">
        <f ca="1">K110*'Operating '!K9</f>
        <v>1091205.6586452541</v>
      </c>
      <c r="L109" s="1"/>
    </row>
    <row r="110" spans="1:12" x14ac:dyDescent="0.25">
      <c r="B110" s="16" t="s">
        <v>108</v>
      </c>
      <c r="C110" s="18">
        <f>C109/'Operating '!C9</f>
        <v>1.4490036385225726E-2</v>
      </c>
      <c r="D110" s="18">
        <f>D109/'Operating '!D9</f>
        <v>2.0341487221132982E-2</v>
      </c>
      <c r="E110" s="18">
        <f>E109/'Operating '!E9</f>
        <v>2.1572407004880449E-2</v>
      </c>
      <c r="F110" s="18">
        <f t="shared" ref="F110:K110" ca="1" si="45">+OFFSET(F110,$C$4,)</f>
        <v>0.02</v>
      </c>
      <c r="G110" s="18">
        <f t="shared" ca="1" si="45"/>
        <v>0.02</v>
      </c>
      <c r="H110" s="18">
        <f t="shared" ca="1" si="45"/>
        <v>0.02</v>
      </c>
      <c r="I110" s="18">
        <f t="shared" ca="1" si="45"/>
        <v>0.02</v>
      </c>
      <c r="J110" s="18">
        <f t="shared" ca="1" si="45"/>
        <v>0.02</v>
      </c>
      <c r="K110" s="18">
        <f t="shared" ca="1" si="45"/>
        <v>0.02</v>
      </c>
      <c r="L110" s="1"/>
    </row>
    <row r="111" spans="1:12" x14ac:dyDescent="0.25">
      <c r="B111" s="7" t="s">
        <v>78</v>
      </c>
      <c r="C111" s="1"/>
      <c r="D111" s="1"/>
      <c r="E111" s="1"/>
      <c r="F111" s="19">
        <v>0.02</v>
      </c>
      <c r="G111" s="19">
        <v>0.02</v>
      </c>
      <c r="H111" s="19">
        <v>0.02</v>
      </c>
      <c r="I111" s="19">
        <v>0.02</v>
      </c>
      <c r="J111" s="19">
        <v>0.02</v>
      </c>
      <c r="K111" s="19">
        <v>0.02</v>
      </c>
      <c r="L111" s="20"/>
    </row>
    <row r="112" spans="1:12" x14ac:dyDescent="0.25">
      <c r="B112" s="7" t="s">
        <v>80</v>
      </c>
      <c r="C112" s="1"/>
      <c r="D112" s="1"/>
      <c r="E112" s="1"/>
      <c r="F112" s="19">
        <v>0.02</v>
      </c>
      <c r="G112" s="19">
        <v>0.02</v>
      </c>
      <c r="H112" s="19">
        <v>0.02</v>
      </c>
      <c r="I112" s="19">
        <v>0.02</v>
      </c>
      <c r="J112" s="19">
        <v>0.02</v>
      </c>
      <c r="K112" s="19">
        <v>0.02</v>
      </c>
      <c r="L112" s="20"/>
    </row>
    <row r="113" spans="1:12" x14ac:dyDescent="0.25">
      <c r="B113" s="7" t="s">
        <v>81</v>
      </c>
      <c r="C113" s="1"/>
      <c r="D113" s="1"/>
      <c r="E113" s="1"/>
      <c r="F113" s="19">
        <v>0.02</v>
      </c>
      <c r="G113" s="19">
        <v>0.02</v>
      </c>
      <c r="H113" s="19">
        <v>0.02</v>
      </c>
      <c r="I113" s="19">
        <v>0.02</v>
      </c>
      <c r="J113" s="19">
        <v>0.02</v>
      </c>
      <c r="K113" s="19">
        <v>0.02</v>
      </c>
      <c r="L113" s="20"/>
    </row>
    <row r="115" spans="1:12" x14ac:dyDescent="0.25">
      <c r="A115" t="s">
        <v>255</v>
      </c>
      <c r="B115" s="11" t="s">
        <v>147</v>
      </c>
      <c r="C115" s="14" t="e">
        <f>Historicals!#REF!</f>
        <v>#REF!</v>
      </c>
      <c r="D115" s="14">
        <f>Historicals!C58</f>
        <v>249345</v>
      </c>
      <c r="E115" s="14">
        <f>Historicals!D58</f>
        <v>262266</v>
      </c>
      <c r="F115" s="15">
        <f ca="1">F116*-'Operating '!F17</f>
        <v>431536.90476000006</v>
      </c>
      <c r="G115" s="15">
        <f ca="1">G116*-'Operating '!G17</f>
        <v>477267.81777983264</v>
      </c>
      <c r="H115" s="15">
        <f ca="1">H116*-'Operating '!H17</f>
        <v>535422.80720021483</v>
      </c>
      <c r="I115" s="15">
        <f ca="1">I116*-'Operating '!I17</f>
        <v>599949.93648304802</v>
      </c>
      <c r="J115" s="15">
        <f ca="1">J116*-'Operating '!J17</f>
        <v>671572.95211629476</v>
      </c>
      <c r="K115" s="15">
        <f ca="1">K116*-'Operating '!K17</f>
        <v>751131.41512846062</v>
      </c>
    </row>
    <row r="116" spans="1:12" x14ac:dyDescent="0.25">
      <c r="B116" s="16" t="s">
        <v>148</v>
      </c>
      <c r="C116" s="18" t="e">
        <f>C115/-'Operating '!C17</f>
        <v>#REF!</v>
      </c>
      <c r="D116" s="18">
        <f>D115/-'Operating '!D17</f>
        <v>5.1711029612442581E-2</v>
      </c>
      <c r="E116" s="18">
        <f>E115/-'Operating '!E17</f>
        <v>4.5874759489242613E-2</v>
      </c>
      <c r="F116" s="18">
        <f t="shared" ref="F116:K116" ca="1" si="46">+OFFSET(F116,$C$4,)</f>
        <v>6.5000000000000002E-2</v>
      </c>
      <c r="G116" s="18">
        <f t="shared" ca="1" si="46"/>
        <v>6.5000000000000002E-2</v>
      </c>
      <c r="H116" s="18">
        <f t="shared" ca="1" si="46"/>
        <v>6.5000000000000002E-2</v>
      </c>
      <c r="I116" s="18">
        <f t="shared" ca="1" si="46"/>
        <v>6.5000000000000002E-2</v>
      </c>
      <c r="J116" s="18">
        <f t="shared" ca="1" si="46"/>
        <v>6.5000000000000002E-2</v>
      </c>
      <c r="K116" s="18">
        <f t="shared" ca="1" si="46"/>
        <v>6.5000000000000002E-2</v>
      </c>
    </row>
    <row r="117" spans="1:12" x14ac:dyDescent="0.25">
      <c r="B117" s="7" t="s">
        <v>78</v>
      </c>
      <c r="C117" s="1"/>
      <c r="D117" s="1"/>
      <c r="E117" s="1"/>
      <c r="F117" s="19">
        <v>6.5000000000000002E-2</v>
      </c>
      <c r="G117" s="19">
        <v>6.5000000000000002E-2</v>
      </c>
      <c r="H117" s="19">
        <v>6.5000000000000002E-2</v>
      </c>
      <c r="I117" s="19">
        <v>6.5000000000000002E-2</v>
      </c>
      <c r="J117" s="19">
        <v>6.5000000000000002E-2</v>
      </c>
      <c r="K117" s="19">
        <v>6.5000000000000002E-2</v>
      </c>
      <c r="L117" s="33"/>
    </row>
    <row r="118" spans="1:12" x14ac:dyDescent="0.25">
      <c r="B118" s="7" t="s">
        <v>80</v>
      </c>
      <c r="C118" s="1"/>
      <c r="D118" s="1"/>
      <c r="E118" s="1"/>
      <c r="F118" s="19">
        <v>6.5000000000000002E-2</v>
      </c>
      <c r="G118" s="19">
        <v>6.5000000000000002E-2</v>
      </c>
      <c r="H118" s="19">
        <v>6.5000000000000002E-2</v>
      </c>
      <c r="I118" s="19">
        <v>6.5000000000000002E-2</v>
      </c>
      <c r="J118" s="19">
        <v>6.5000000000000002E-2</v>
      </c>
      <c r="K118" s="19">
        <v>6.5000000000000002E-2</v>
      </c>
    </row>
    <row r="119" spans="1:12" x14ac:dyDescent="0.25">
      <c r="B119" s="7" t="s">
        <v>81</v>
      </c>
      <c r="C119" s="1"/>
      <c r="D119" s="1"/>
      <c r="E119" s="1"/>
      <c r="F119" s="19">
        <v>6.5000000000000002E-2</v>
      </c>
      <c r="G119" s="19">
        <v>6.5000000000000002E-2</v>
      </c>
      <c r="H119" s="19">
        <v>6.5000000000000002E-2</v>
      </c>
      <c r="I119" s="19">
        <v>6.5000000000000002E-2</v>
      </c>
      <c r="J119" s="19">
        <v>6.5000000000000002E-2</v>
      </c>
      <c r="K119" s="19">
        <v>6.5000000000000002E-2</v>
      </c>
    </row>
  </sheetData>
  <mergeCells count="7">
    <mergeCell ref="N9:P11"/>
    <mergeCell ref="N33:R35"/>
    <mergeCell ref="N63:R63"/>
    <mergeCell ref="N15:R17"/>
    <mergeCell ref="N21:R23"/>
    <mergeCell ref="N27:R29"/>
    <mergeCell ref="N44:R4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CDF7-9F5C-466E-A186-02635658FF29}">
  <dimension ref="A1:G89"/>
  <sheetViews>
    <sheetView showGridLines="0" tabSelected="1" zoomScale="102" workbookViewId="0">
      <selection activeCell="B1" sqref="B1"/>
    </sheetView>
  </sheetViews>
  <sheetFormatPr defaultColWidth="8.85546875" defaultRowHeight="15" x14ac:dyDescent="0.25"/>
  <cols>
    <col min="1" max="1" width="3.7109375" style="112" customWidth="1"/>
    <col min="2" max="2" width="92.5703125" bestFit="1" customWidth="1"/>
    <col min="3" max="3" width="14.28515625" customWidth="1"/>
    <col min="4" max="4" width="20.85546875" customWidth="1"/>
    <col min="5" max="5" width="17.7109375" customWidth="1"/>
  </cols>
  <sheetData>
    <row r="1" spans="1:6" x14ac:dyDescent="0.25">
      <c r="A1" s="112" t="s">
        <v>255</v>
      </c>
      <c r="B1" s="83" t="s">
        <v>193</v>
      </c>
      <c r="C1" s="84"/>
      <c r="D1" s="85"/>
      <c r="E1" s="85" t="s">
        <v>257</v>
      </c>
    </row>
    <row r="2" spans="1:6" x14ac:dyDescent="0.25">
      <c r="B2" s="1"/>
      <c r="C2" s="4">
        <v>2021</v>
      </c>
      <c r="D2" s="4">
        <v>2022</v>
      </c>
      <c r="E2" s="4">
        <v>2023</v>
      </c>
    </row>
    <row r="3" spans="1:6" x14ac:dyDescent="0.25">
      <c r="A3" s="112" t="s">
        <v>255</v>
      </c>
      <c r="B3" s="1" t="s">
        <v>0</v>
      </c>
      <c r="C3" s="103">
        <v>16487975</v>
      </c>
      <c r="D3" s="103">
        <v>18338177</v>
      </c>
      <c r="E3" s="103">
        <v>21223000</v>
      </c>
      <c r="F3" s="80"/>
    </row>
    <row r="4" spans="1:6" x14ac:dyDescent="0.25">
      <c r="B4" s="1" t="s">
        <v>1</v>
      </c>
      <c r="C4" s="103">
        <v>1918397</v>
      </c>
      <c r="D4" s="103">
        <v>2244438</v>
      </c>
      <c r="E4" s="103">
        <v>3160000</v>
      </c>
      <c r="F4" s="80"/>
    </row>
    <row r="5" spans="1:6" x14ac:dyDescent="0.25">
      <c r="B5" s="1" t="s">
        <v>2</v>
      </c>
      <c r="C5" s="79">
        <f t="shared" ref="C5:E5" si="0">C3+C4</f>
        <v>18406372</v>
      </c>
      <c r="D5" s="79">
        <f t="shared" si="0"/>
        <v>20582615</v>
      </c>
      <c r="E5" s="79">
        <f t="shared" si="0"/>
        <v>24383000</v>
      </c>
      <c r="F5" s="80"/>
    </row>
    <row r="6" spans="1:6" x14ac:dyDescent="0.25">
      <c r="B6" s="1" t="s">
        <v>3</v>
      </c>
      <c r="C6" s="103">
        <v>15455244</v>
      </c>
      <c r="D6" s="103">
        <v>15872742</v>
      </c>
      <c r="E6" s="103">
        <v>18193000</v>
      </c>
      <c r="F6" s="80"/>
    </row>
    <row r="7" spans="1:6" x14ac:dyDescent="0.25">
      <c r="B7" s="1" t="s">
        <v>4</v>
      </c>
      <c r="C7" s="103">
        <v>4445090</v>
      </c>
      <c r="D7" s="103">
        <v>4821892</v>
      </c>
      <c r="E7" s="103">
        <v>5717000</v>
      </c>
      <c r="F7" s="80"/>
    </row>
    <row r="8" spans="1:6" x14ac:dyDescent="0.25">
      <c r="B8" s="1" t="s">
        <v>5</v>
      </c>
      <c r="C8" s="79">
        <f t="shared" ref="C8" si="1">C6+C7</f>
        <v>19900334</v>
      </c>
      <c r="D8" s="79">
        <f>D6+D7</f>
        <v>20694634</v>
      </c>
      <c r="E8" s="79">
        <f>E6+E7</f>
        <v>23910000</v>
      </c>
      <c r="F8" s="79"/>
    </row>
    <row r="9" spans="1:6" x14ac:dyDescent="0.25">
      <c r="B9" s="4" t="s">
        <v>6</v>
      </c>
      <c r="C9" s="82">
        <f t="shared" ref="C9:E9" si="2">C5-C8</f>
        <v>-1493962</v>
      </c>
      <c r="D9" s="82">
        <f t="shared" si="2"/>
        <v>-112019</v>
      </c>
      <c r="E9" s="82">
        <f t="shared" si="2"/>
        <v>473000</v>
      </c>
      <c r="F9" s="82"/>
    </row>
    <row r="10" spans="1:6" x14ac:dyDescent="0.25">
      <c r="B10" s="1" t="s">
        <v>7</v>
      </c>
      <c r="C10" s="103">
        <v>8645</v>
      </c>
      <c r="D10" s="103">
        <v>52798</v>
      </c>
      <c r="E10" s="103">
        <v>178000</v>
      </c>
      <c r="F10" s="80"/>
    </row>
    <row r="11" spans="1:6" x14ac:dyDescent="0.25">
      <c r="B11" s="1" t="s">
        <v>8</v>
      </c>
      <c r="C11" s="103">
        <v>-45358</v>
      </c>
      <c r="D11" s="103">
        <v>-27169</v>
      </c>
      <c r="E11" s="103">
        <v>-48000</v>
      </c>
      <c r="F11" s="80"/>
    </row>
    <row r="12" spans="1:6" x14ac:dyDescent="0.25">
      <c r="B12" s="1" t="s">
        <v>9</v>
      </c>
      <c r="C12" s="103">
        <v>-10913</v>
      </c>
      <c r="D12" s="103">
        <v>-6715</v>
      </c>
      <c r="E12" s="103">
        <v>-19000</v>
      </c>
      <c r="F12" s="80"/>
    </row>
    <row r="13" spans="1:6" x14ac:dyDescent="0.25">
      <c r="B13" s="4" t="s">
        <v>10</v>
      </c>
      <c r="C13" s="82">
        <f t="shared" ref="C13:E13" si="3">SUM(C9:C12)</f>
        <v>-1541588</v>
      </c>
      <c r="D13" s="82">
        <f t="shared" si="3"/>
        <v>-93105</v>
      </c>
      <c r="E13" s="82">
        <f t="shared" si="3"/>
        <v>584000</v>
      </c>
      <c r="F13" s="82"/>
    </row>
    <row r="14" spans="1:6" x14ac:dyDescent="0.25">
      <c r="B14" s="1" t="s">
        <v>11</v>
      </c>
      <c r="C14" s="103">
        <v>1002</v>
      </c>
      <c r="D14" s="103">
        <v>-1063</v>
      </c>
      <c r="E14" s="103">
        <v>-776000</v>
      </c>
      <c r="F14" s="80"/>
    </row>
    <row r="15" spans="1:6" x14ac:dyDescent="0.25">
      <c r="B15" s="4" t="s">
        <v>12</v>
      </c>
      <c r="C15" s="82">
        <f t="shared" ref="C15:E15" si="4">C13-C14</f>
        <v>-1542590</v>
      </c>
      <c r="D15" s="82">
        <f t="shared" si="4"/>
        <v>-92042</v>
      </c>
      <c r="E15" s="82">
        <f t="shared" si="4"/>
        <v>1360000</v>
      </c>
      <c r="F15" s="82"/>
    </row>
    <row r="16" spans="1:6" x14ac:dyDescent="0.25">
      <c r="B16" s="1"/>
      <c r="C16" s="79"/>
      <c r="D16" s="79"/>
    </row>
    <row r="17" spans="1:5" x14ac:dyDescent="0.25">
      <c r="B17" s="83" t="s">
        <v>194</v>
      </c>
      <c r="C17" s="83"/>
      <c r="D17" s="83"/>
      <c r="E17" s="83"/>
    </row>
    <row r="18" spans="1:5" x14ac:dyDescent="0.25">
      <c r="B18" s="1" t="s">
        <v>13</v>
      </c>
      <c r="C18" s="4"/>
      <c r="D18" s="4"/>
    </row>
    <row r="19" spans="1:5" x14ac:dyDescent="0.25">
      <c r="A19" s="112" t="s">
        <v>255</v>
      </c>
      <c r="B19" s="1" t="s">
        <v>14</v>
      </c>
      <c r="C19" s="103">
        <v>3487708</v>
      </c>
      <c r="D19" s="103">
        <v>3509334</v>
      </c>
      <c r="E19" s="103">
        <v>5243000</v>
      </c>
    </row>
    <row r="20" spans="1:5" x14ac:dyDescent="0.25">
      <c r="B20" s="1" t="s">
        <v>15</v>
      </c>
      <c r="C20" s="103">
        <v>319800</v>
      </c>
      <c r="D20" s="103">
        <v>176316</v>
      </c>
      <c r="E20" s="103">
        <v>353000</v>
      </c>
    </row>
    <row r="21" spans="1:5" x14ac:dyDescent="0.25">
      <c r="B21" s="1" t="s">
        <v>16</v>
      </c>
      <c r="C21" s="103">
        <v>175350</v>
      </c>
      <c r="D21" s="103">
        <v>184463</v>
      </c>
      <c r="E21" s="103">
        <v>314000</v>
      </c>
    </row>
    <row r="22" spans="1:5" x14ac:dyDescent="0.25">
      <c r="B22" s="1" t="s">
        <v>17</v>
      </c>
      <c r="C22" s="103">
        <v>1421501</v>
      </c>
      <c r="D22" s="103">
        <v>1656851</v>
      </c>
      <c r="E22" s="103">
        <v>1666000</v>
      </c>
    </row>
    <row r="23" spans="1:5" x14ac:dyDescent="0.25">
      <c r="B23" s="1" t="s">
        <v>18</v>
      </c>
      <c r="C23" s="103">
        <v>232447</v>
      </c>
      <c r="D23" s="103">
        <v>303166</v>
      </c>
      <c r="E23" s="103">
        <v>316000</v>
      </c>
    </row>
    <row r="24" spans="1:5" x14ac:dyDescent="0.25">
      <c r="B24" s="4" t="s">
        <v>19</v>
      </c>
      <c r="C24" s="82">
        <f>SUM(C19:C23)</f>
        <v>5636806</v>
      </c>
      <c r="D24" s="82">
        <f>SUM(D19:D23)</f>
        <v>5830130</v>
      </c>
      <c r="E24" s="82">
        <f>SUM(E19:E23)</f>
        <v>7892000</v>
      </c>
    </row>
    <row r="25" spans="1:5" x14ac:dyDescent="0.25">
      <c r="B25" s="1" t="s">
        <v>20</v>
      </c>
      <c r="C25" s="103">
        <v>2839</v>
      </c>
      <c r="D25" s="103">
        <v>1624</v>
      </c>
      <c r="E25" s="103">
        <v>2465000</v>
      </c>
    </row>
    <row r="26" spans="1:5" x14ac:dyDescent="0.25">
      <c r="B26" s="1" t="s">
        <v>21</v>
      </c>
      <c r="C26" s="103">
        <v>1347531</v>
      </c>
      <c r="D26" s="103">
        <v>1819945</v>
      </c>
      <c r="E26" s="103">
        <v>1601000</v>
      </c>
    </row>
    <row r="27" spans="1:5" x14ac:dyDescent="0.25">
      <c r="B27" s="1" t="s">
        <v>22</v>
      </c>
      <c r="C27" s="103">
        <v>1374629</v>
      </c>
      <c r="D27" s="103">
        <v>1405248</v>
      </c>
      <c r="E27" s="103">
        <v>925000</v>
      </c>
    </row>
    <row r="28" spans="1:5" x14ac:dyDescent="0.25">
      <c r="B28" s="1" t="s">
        <v>23</v>
      </c>
      <c r="C28" s="103">
        <v>280029</v>
      </c>
      <c r="D28" s="103">
        <v>455956</v>
      </c>
      <c r="E28" s="103">
        <v>463000</v>
      </c>
    </row>
    <row r="29" spans="1:5" x14ac:dyDescent="0.25">
      <c r="B29" s="4" t="s">
        <v>24</v>
      </c>
      <c r="C29" s="82">
        <f>SUM(C24:C28)</f>
        <v>8641834</v>
      </c>
      <c r="D29" s="82">
        <f>SUM(D24:D28)</f>
        <v>9512903</v>
      </c>
      <c r="E29" s="82">
        <f>SUM(E25:E28)+E24</f>
        <v>13346000</v>
      </c>
    </row>
    <row r="30" spans="1:5" x14ac:dyDescent="0.25">
      <c r="B30" s="1" t="s">
        <v>25</v>
      </c>
      <c r="C30" s="79"/>
      <c r="D30" s="79"/>
      <c r="E30" s="79"/>
    </row>
    <row r="31" spans="1:5" x14ac:dyDescent="0.25">
      <c r="B31" s="1" t="s">
        <v>26</v>
      </c>
      <c r="C31" s="103">
        <v>3442720</v>
      </c>
      <c r="D31" s="103">
        <v>3622332</v>
      </c>
      <c r="E31" s="103">
        <v>5099000</v>
      </c>
    </row>
    <row r="32" spans="1:5" x14ac:dyDescent="0.25">
      <c r="B32" s="1" t="s">
        <v>27</v>
      </c>
      <c r="C32" s="103">
        <v>304293</v>
      </c>
      <c r="D32" s="103">
        <v>298869</v>
      </c>
      <c r="E32" s="103">
        <v>352000</v>
      </c>
    </row>
    <row r="33" spans="1:5" x14ac:dyDescent="0.25">
      <c r="B33" s="1" t="s">
        <v>28</v>
      </c>
      <c r="C33" s="103">
        <v>93972</v>
      </c>
      <c r="D33" s="103">
        <v>92361</v>
      </c>
      <c r="E33" s="103">
        <v>97000</v>
      </c>
    </row>
    <row r="34" spans="1:5" x14ac:dyDescent="0.25">
      <c r="B34" s="1" t="s">
        <v>29</v>
      </c>
      <c r="C34" s="103">
        <v>7811</v>
      </c>
      <c r="D34" s="103">
        <v>175403</v>
      </c>
      <c r="E34" s="103">
        <v>282000</v>
      </c>
    </row>
    <row r="35" spans="1:5" x14ac:dyDescent="0.25">
      <c r="B35" s="1" t="s">
        <v>30</v>
      </c>
      <c r="C35" s="103">
        <v>341717</v>
      </c>
      <c r="D35" s="103">
        <v>128936</v>
      </c>
      <c r="E35" s="103">
        <v>203000</v>
      </c>
    </row>
    <row r="36" spans="1:5" x14ac:dyDescent="0.25">
      <c r="B36" s="1" t="s">
        <v>31</v>
      </c>
      <c r="C36" s="103">
        <v>287066</v>
      </c>
      <c r="D36" s="103">
        <v>325924</v>
      </c>
      <c r="E36" s="103">
        <v>386000</v>
      </c>
    </row>
    <row r="37" spans="1:5" x14ac:dyDescent="0.25">
      <c r="B37" s="1" t="s">
        <v>32</v>
      </c>
      <c r="C37" s="103">
        <v>266709</v>
      </c>
      <c r="D37" s="103">
        <v>418681</v>
      </c>
      <c r="E37" s="103">
        <v>526000</v>
      </c>
    </row>
    <row r="38" spans="1:5" x14ac:dyDescent="0.25">
      <c r="B38" s="4" t="s">
        <v>33</v>
      </c>
      <c r="C38" s="82">
        <f>SUM(C31:C37)</f>
        <v>4744288</v>
      </c>
      <c r="D38" s="82">
        <f>SUM(D31:D37)</f>
        <v>5062506</v>
      </c>
      <c r="E38" s="82">
        <f>SUM(E31:E37)</f>
        <v>6945000</v>
      </c>
    </row>
    <row r="39" spans="1:5" x14ac:dyDescent="0.25">
      <c r="B39" s="1" t="s">
        <v>34</v>
      </c>
      <c r="C39" s="103">
        <v>283190</v>
      </c>
      <c r="D39" s="103">
        <v>537880</v>
      </c>
      <c r="E39" s="103">
        <v>529000</v>
      </c>
    </row>
    <row r="40" spans="1:5" x14ac:dyDescent="0.25">
      <c r="B40" s="1" t="s">
        <v>35</v>
      </c>
      <c r="C40" s="103">
        <v>1201277</v>
      </c>
      <c r="D40" s="103">
        <v>1233680</v>
      </c>
      <c r="E40" s="103">
        <v>1387000</v>
      </c>
    </row>
    <row r="41" spans="1:5" x14ac:dyDescent="0.25">
      <c r="B41" s="1" t="s">
        <v>36</v>
      </c>
      <c r="C41" s="103">
        <v>237122</v>
      </c>
      <c r="D41" s="103">
        <v>264924</v>
      </c>
      <c r="E41" s="103">
        <v>381000</v>
      </c>
    </row>
    <row r="42" spans="1:5" x14ac:dyDescent="0.25">
      <c r="B42" s="4" t="s">
        <v>37</v>
      </c>
      <c r="C42" s="82">
        <f>SUM(C38:C41)</f>
        <v>6465877</v>
      </c>
      <c r="D42" s="82">
        <f>SUM(D38:D41)</f>
        <v>7098990</v>
      </c>
      <c r="E42" s="82">
        <f>SUM(E39:E41)+E38</f>
        <v>9242000</v>
      </c>
    </row>
    <row r="43" spans="1:5" x14ac:dyDescent="0.25">
      <c r="B43" s="1"/>
      <c r="C43" s="79"/>
      <c r="D43" s="79"/>
      <c r="E43" s="79"/>
    </row>
    <row r="44" spans="1:5" x14ac:dyDescent="0.25">
      <c r="B44" s="1" t="s">
        <v>38</v>
      </c>
      <c r="C44" s="79"/>
      <c r="D44" s="79"/>
      <c r="E44" s="79"/>
    </row>
    <row r="45" spans="1:5" x14ac:dyDescent="0.25">
      <c r="B45" s="1" t="s">
        <v>39</v>
      </c>
      <c r="C45" s="80"/>
      <c r="D45" s="80"/>
      <c r="E45" s="80"/>
    </row>
    <row r="46" spans="1:5" x14ac:dyDescent="0.25">
      <c r="A46" s="112" t="s">
        <v>255</v>
      </c>
      <c r="B46" s="1" t="s">
        <v>40</v>
      </c>
      <c r="C46" s="103">
        <v>7874038</v>
      </c>
      <c r="D46" s="103">
        <v>8154076</v>
      </c>
      <c r="E46" s="103">
        <v>8489000</v>
      </c>
    </row>
    <row r="47" spans="1:5" x14ac:dyDescent="0.25">
      <c r="B47" s="1" t="s">
        <v>41</v>
      </c>
      <c r="C47" s="103">
        <v>-47739</v>
      </c>
      <c r="D47" s="103">
        <v>2219</v>
      </c>
      <c r="E47" s="103">
        <v>-17000</v>
      </c>
    </row>
    <row r="48" spans="1:5" x14ac:dyDescent="0.25">
      <c r="B48" s="1" t="s">
        <v>42</v>
      </c>
      <c r="C48" s="103">
        <v>-5650517</v>
      </c>
      <c r="D48" s="103">
        <v>-5742559</v>
      </c>
      <c r="E48" s="103">
        <v>-4383000</v>
      </c>
    </row>
    <row r="49" spans="1:5" x14ac:dyDescent="0.25">
      <c r="B49" s="4" t="s">
        <v>43</v>
      </c>
      <c r="C49" s="82">
        <f>SUM(C45:C48)</f>
        <v>2175782</v>
      </c>
      <c r="D49" s="82">
        <f>SUM(D45:D48)</f>
        <v>2413736</v>
      </c>
      <c r="E49" s="82">
        <f>SUM(E45:E48)</f>
        <v>4089000</v>
      </c>
    </row>
    <row r="50" spans="1:5" x14ac:dyDescent="0.25">
      <c r="B50" s="4" t="s">
        <v>44</v>
      </c>
      <c r="C50" s="82">
        <f>C49+C42</f>
        <v>8641659</v>
      </c>
      <c r="D50" s="82">
        <f>D49+D42</f>
        <v>9512726</v>
      </c>
      <c r="E50" s="82">
        <f>E49+E42</f>
        <v>13331000</v>
      </c>
    </row>
    <row r="51" spans="1:5" x14ac:dyDescent="0.25">
      <c r="B51" s="1"/>
      <c r="C51" s="79"/>
      <c r="D51" s="79"/>
    </row>
    <row r="52" spans="1:5" x14ac:dyDescent="0.25">
      <c r="B52" s="83" t="s">
        <v>195</v>
      </c>
      <c r="C52" s="85"/>
      <c r="D52" s="85"/>
      <c r="E52" s="85"/>
    </row>
    <row r="53" spans="1:5" x14ac:dyDescent="0.25">
      <c r="B53" s="1" t="s">
        <v>45</v>
      </c>
      <c r="C53" s="79"/>
      <c r="D53" s="79"/>
    </row>
    <row r="54" spans="1:5" x14ac:dyDescent="0.25">
      <c r="A54" s="112" t="s">
        <v>255</v>
      </c>
      <c r="B54" s="1" t="s">
        <v>204</v>
      </c>
      <c r="C54" s="103">
        <v>-1542590</v>
      </c>
      <c r="D54" s="103">
        <v>-92042</v>
      </c>
      <c r="E54" s="103">
        <v>1360000</v>
      </c>
    </row>
    <row r="55" spans="1:5" x14ac:dyDescent="0.25">
      <c r="B55" s="81" t="s">
        <v>46</v>
      </c>
      <c r="C55" s="103"/>
      <c r="D55" s="103"/>
      <c r="E55" s="103"/>
    </row>
    <row r="56" spans="1:5" x14ac:dyDescent="0.25">
      <c r="B56" s="1" t="s">
        <v>47</v>
      </c>
      <c r="C56" s="103">
        <v>201480</v>
      </c>
      <c r="D56" s="103">
        <v>230965</v>
      </c>
      <c r="E56" s="103">
        <v>275000</v>
      </c>
    </row>
    <row r="57" spans="1:5" x14ac:dyDescent="0.25">
      <c r="B57" s="81" t="s">
        <v>48</v>
      </c>
      <c r="C57" s="103">
        <v>128214</v>
      </c>
      <c r="D57" s="103">
        <v>161224</v>
      </c>
      <c r="E57" s="103">
        <v>159000</v>
      </c>
    </row>
    <row r="58" spans="1:5" x14ac:dyDescent="0.25">
      <c r="B58" s="1" t="s">
        <v>49</v>
      </c>
      <c r="C58" s="103">
        <v>249345</v>
      </c>
      <c r="D58" s="103">
        <v>262266</v>
      </c>
      <c r="E58" s="103">
        <v>326000</v>
      </c>
    </row>
    <row r="59" spans="1:5" x14ac:dyDescent="0.25">
      <c r="B59" s="1" t="s">
        <v>50</v>
      </c>
      <c r="C59" s="103">
        <v>20148</v>
      </c>
      <c r="D59" s="103">
        <v>0</v>
      </c>
      <c r="E59" s="103">
        <v>0</v>
      </c>
    </row>
    <row r="60" spans="1:5" x14ac:dyDescent="0.25">
      <c r="B60" s="1" t="s">
        <v>51</v>
      </c>
      <c r="C60" s="103">
        <v>0</v>
      </c>
      <c r="D60" s="103">
        <v>0</v>
      </c>
      <c r="E60" s="103">
        <v>0</v>
      </c>
    </row>
    <row r="61" spans="1:5" x14ac:dyDescent="0.25">
      <c r="B61" s="1" t="s">
        <v>52</v>
      </c>
      <c r="C61" s="103">
        <v>284825</v>
      </c>
      <c r="D61" s="103">
        <v>0</v>
      </c>
      <c r="E61" s="103">
        <v>338000</v>
      </c>
    </row>
    <row r="62" spans="1:5" x14ac:dyDescent="0.25">
      <c r="B62" s="1" t="s">
        <v>53</v>
      </c>
      <c r="C62" s="103">
        <v>258965</v>
      </c>
      <c r="D62" s="103">
        <v>309670</v>
      </c>
      <c r="E62" s="103">
        <v>-884000</v>
      </c>
    </row>
    <row r="63" spans="1:5" x14ac:dyDescent="0.25">
      <c r="B63" s="1" t="s">
        <v>54</v>
      </c>
      <c r="C63" s="103">
        <v>57978</v>
      </c>
      <c r="D63" s="103">
        <v>111768</v>
      </c>
      <c r="E63" s="103">
        <v>140000</v>
      </c>
    </row>
    <row r="64" spans="1:5" x14ac:dyDescent="0.25">
      <c r="B64" s="1" t="s">
        <v>55</v>
      </c>
      <c r="C64" s="103"/>
      <c r="D64" s="103"/>
      <c r="E64" s="103"/>
    </row>
    <row r="65" spans="1:7" x14ac:dyDescent="0.25">
      <c r="B65" s="1" t="s">
        <v>16</v>
      </c>
      <c r="C65" s="103">
        <v>-120206</v>
      </c>
      <c r="D65" s="103">
        <v>-33827</v>
      </c>
      <c r="E65" s="103">
        <v>-133000</v>
      </c>
    </row>
    <row r="66" spans="1:7" x14ac:dyDescent="0.25">
      <c r="B66" s="1" t="s">
        <v>17</v>
      </c>
      <c r="C66" s="103">
        <v>-527959</v>
      </c>
      <c r="D66" s="103">
        <v>-367034</v>
      </c>
      <c r="E66" s="103">
        <v>-44000</v>
      </c>
    </row>
    <row r="67" spans="1:7" x14ac:dyDescent="0.25">
      <c r="B67" s="1" t="s">
        <v>56</v>
      </c>
      <c r="C67" s="103">
        <v>-178383</v>
      </c>
      <c r="D67" s="103">
        <v>-289375</v>
      </c>
      <c r="E67" s="103">
        <v>-153000</v>
      </c>
    </row>
    <row r="68" spans="1:7" x14ac:dyDescent="0.25">
      <c r="B68" s="1" t="s">
        <v>26</v>
      </c>
      <c r="C68" s="103">
        <v>728488</v>
      </c>
      <c r="D68" s="103">
        <v>444402</v>
      </c>
      <c r="E68" s="103">
        <v>1514000</v>
      </c>
    </row>
    <row r="69" spans="1:7" x14ac:dyDescent="0.25">
      <c r="B69" s="1" t="s">
        <v>27</v>
      </c>
      <c r="C69" s="103">
        <v>206597</v>
      </c>
      <c r="D69" s="103">
        <v>7201</v>
      </c>
      <c r="E69" s="103">
        <v>43000</v>
      </c>
    </row>
    <row r="70" spans="1:7" x14ac:dyDescent="0.25">
      <c r="B70" s="1" t="s">
        <v>57</v>
      </c>
      <c r="C70" s="103">
        <v>-177480</v>
      </c>
      <c r="D70" s="103">
        <v>-179779</v>
      </c>
      <c r="E70" s="103">
        <v>-289000</v>
      </c>
    </row>
    <row r="71" spans="1:7" x14ac:dyDescent="0.25">
      <c r="B71" s="4" t="s">
        <v>58</v>
      </c>
      <c r="C71" s="82">
        <f t="shared" ref="C71:E71" si="5">SUM(C54:C70)</f>
        <v>-410578</v>
      </c>
      <c r="D71" s="82">
        <f t="shared" si="5"/>
        <v>565439</v>
      </c>
      <c r="E71" s="82">
        <f t="shared" si="5"/>
        <v>2652000</v>
      </c>
    </row>
    <row r="72" spans="1:7" x14ac:dyDescent="0.25">
      <c r="B72" s="1" t="s">
        <v>59</v>
      </c>
      <c r="C72" s="79"/>
      <c r="D72" s="79"/>
      <c r="E72" s="80"/>
    </row>
    <row r="73" spans="1:7" x14ac:dyDescent="0.25">
      <c r="A73" s="112" t="s">
        <v>255</v>
      </c>
      <c r="B73" s="1" t="s">
        <v>60</v>
      </c>
      <c r="C73" s="103">
        <v>-673663</v>
      </c>
      <c r="D73" s="103">
        <v>-824262</v>
      </c>
      <c r="E73" s="103">
        <v>-896000</v>
      </c>
    </row>
    <row r="74" spans="1:7" x14ac:dyDescent="0.25">
      <c r="B74" s="1" t="s">
        <v>61</v>
      </c>
      <c r="C74" s="103">
        <v>1864</v>
      </c>
      <c r="D74" s="103">
        <v>13182</v>
      </c>
      <c r="E74" s="103">
        <v>19000</v>
      </c>
    </row>
    <row r="75" spans="1:7" x14ac:dyDescent="0.25">
      <c r="B75" s="1" t="s">
        <v>62</v>
      </c>
      <c r="C75" s="103">
        <v>-3726</v>
      </c>
      <c r="D75" s="103">
        <v>-37174</v>
      </c>
      <c r="E75" s="103">
        <v>-50000</v>
      </c>
    </row>
    <row r="76" spans="1:7" x14ac:dyDescent="0.25">
      <c r="B76" s="4" t="s">
        <v>63</v>
      </c>
      <c r="C76" s="82">
        <f t="shared" ref="C76:D76" si="6">SUM(C73:C75)</f>
        <v>-675525</v>
      </c>
      <c r="D76" s="82">
        <f t="shared" si="6"/>
        <v>-848254</v>
      </c>
      <c r="E76" s="82">
        <v>-927000</v>
      </c>
    </row>
    <row r="77" spans="1:7" x14ac:dyDescent="0.25">
      <c r="B77" s="1" t="s">
        <v>64</v>
      </c>
      <c r="C77" s="79"/>
      <c r="D77" s="79"/>
    </row>
    <row r="78" spans="1:7" x14ac:dyDescent="0.25">
      <c r="A78" s="112" t="s">
        <v>255</v>
      </c>
      <c r="B78" s="1" t="s">
        <v>205</v>
      </c>
      <c r="C78" s="103">
        <v>3431000</v>
      </c>
      <c r="D78" s="103">
        <v>0</v>
      </c>
      <c r="E78" s="103">
        <v>0</v>
      </c>
      <c r="G78" s="101"/>
    </row>
    <row r="79" spans="1:7" x14ac:dyDescent="0.25">
      <c r="B79" s="1" t="s">
        <v>65</v>
      </c>
      <c r="C79" s="103">
        <v>-12000</v>
      </c>
      <c r="D79" s="103">
        <v>0</v>
      </c>
      <c r="E79" s="103">
        <v>0</v>
      </c>
      <c r="G79" s="101"/>
    </row>
    <row r="80" spans="1:7" x14ac:dyDescent="0.25">
      <c r="B80" s="1" t="s">
        <v>66</v>
      </c>
      <c r="C80" s="103">
        <v>62000</v>
      </c>
      <c r="D80" s="103">
        <v>18000</v>
      </c>
      <c r="E80" s="103">
        <v>9000</v>
      </c>
      <c r="G80" s="101"/>
    </row>
    <row r="81" spans="2:7" x14ac:dyDescent="0.25">
      <c r="B81" s="1" t="s">
        <v>206</v>
      </c>
      <c r="C81" s="103">
        <v>434000</v>
      </c>
      <c r="D81" s="103">
        <v>701000</v>
      </c>
      <c r="E81" s="103">
        <v>572000</v>
      </c>
      <c r="G81" s="101"/>
    </row>
    <row r="82" spans="2:7" x14ac:dyDescent="0.25">
      <c r="B82" s="1" t="s">
        <v>207</v>
      </c>
      <c r="C82" s="103">
        <v>-336000</v>
      </c>
      <c r="D82" s="103">
        <v>-467000</v>
      </c>
      <c r="E82" s="103">
        <v>-392000</v>
      </c>
      <c r="G82" s="101"/>
    </row>
    <row r="83" spans="2:7" x14ac:dyDescent="0.25">
      <c r="B83" s="1" t="s">
        <v>67</v>
      </c>
      <c r="C83" s="103">
        <v>-2000</v>
      </c>
      <c r="D83" s="103">
        <v>-5000</v>
      </c>
      <c r="E83" s="103">
        <v>10000</v>
      </c>
      <c r="G83" s="101"/>
    </row>
    <row r="84" spans="2:7" x14ac:dyDescent="0.25">
      <c r="B84" s="1" t="s">
        <v>68</v>
      </c>
      <c r="C84" s="103">
        <f>SUM(C78:C83)</f>
        <v>3577000</v>
      </c>
      <c r="D84" s="103">
        <f>SUM(D78:D83)</f>
        <v>247000</v>
      </c>
      <c r="E84" s="103">
        <f>SUM(E78:E83)</f>
        <v>199000</v>
      </c>
      <c r="G84" s="101"/>
    </row>
    <row r="85" spans="2:7" x14ac:dyDescent="0.25">
      <c r="B85" s="1" t="s">
        <v>69</v>
      </c>
      <c r="C85" s="103">
        <v>-81000</v>
      </c>
      <c r="D85" s="103">
        <v>-87000</v>
      </c>
      <c r="E85" s="103">
        <v>-14000</v>
      </c>
      <c r="G85" s="101"/>
    </row>
    <row r="86" spans="2:7" x14ac:dyDescent="0.25">
      <c r="B86" s="1" t="s">
        <v>208</v>
      </c>
      <c r="C86" s="103">
        <f>SUM(C71,C76,C84,C85)</f>
        <v>2409897</v>
      </c>
      <c r="D86" s="103">
        <f>SUM(D71,D76,D84,D85)</f>
        <v>-122815</v>
      </c>
      <c r="E86" s="103">
        <f>SUM(E71,E76,E84,E85)</f>
        <v>1910000</v>
      </c>
      <c r="G86" s="101"/>
    </row>
    <row r="87" spans="2:7" x14ac:dyDescent="0.25">
      <c r="B87" s="1" t="s">
        <v>70</v>
      </c>
      <c r="C87" s="103">
        <v>1401000</v>
      </c>
      <c r="D87" s="103">
        <v>3810000</v>
      </c>
      <c r="E87" s="103">
        <v>3687000</v>
      </c>
      <c r="G87" s="101"/>
    </row>
    <row r="88" spans="2:7" x14ac:dyDescent="0.25">
      <c r="B88" s="4" t="s">
        <v>71</v>
      </c>
      <c r="C88" s="82">
        <f>SUM(C86:C87)</f>
        <v>3810897</v>
      </c>
      <c r="D88" s="82">
        <f>SUM(D86:D87)</f>
        <v>3687185</v>
      </c>
      <c r="E88" s="82">
        <f>SUM(E86:E87)</f>
        <v>5597000</v>
      </c>
      <c r="G88" s="102"/>
    </row>
    <row r="89" spans="2:7" x14ac:dyDescent="0.25">
      <c r="B8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Master</vt:lpstr>
      <vt:lpstr>DCF</vt:lpstr>
      <vt:lpstr>Reverse DCF</vt:lpstr>
      <vt:lpstr>WACC</vt:lpstr>
      <vt:lpstr>Operating </vt:lpstr>
      <vt:lpstr>Assumptions</vt:lpstr>
      <vt:lpstr>Historicals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Heraty</dc:creator>
  <cp:lastModifiedBy>Thomas Heraty</cp:lastModifiedBy>
  <dcterms:created xsi:type="dcterms:W3CDTF">2024-02-14T01:06:23Z</dcterms:created>
  <dcterms:modified xsi:type="dcterms:W3CDTF">2024-04-09T08:22:22Z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{F4D87E68-9680-4BF2-9554-12CE85B05AD6}</vt:lpwstr>
  </property>
</Properties>
</file>